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robsinex/Downloads/"/>
    </mc:Choice>
  </mc:AlternateContent>
  <xr:revisionPtr revIDLastSave="0" documentId="13_ncr:1_{57860A90-601E-C24D-9232-ED5BD4B50445}" xr6:coauthVersionLast="47" xr6:coauthVersionMax="47" xr10:uidLastSave="{00000000-0000-0000-0000-000000000000}"/>
  <bookViews>
    <workbookView xWindow="0" yWindow="660" windowWidth="29420" windowHeight="17780" tabRatio="500" xr2:uid="{00000000-000D-0000-FFFF-FFFF00000000}"/>
  </bookViews>
  <sheets>
    <sheet name="📊 Dashboard" sheetId="1" r:id="rId1"/>
    <sheet name="📋 Assessment" sheetId="2" r:id="rId2"/>
    <sheet name="📖 Instructions" sheetId="3" r:id="rId3"/>
    <sheet name="_Values" sheetId="4" state="hidden"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14" i="2" l="1"/>
  <c r="G114" i="2"/>
  <c r="H113" i="2"/>
  <c r="G113" i="2"/>
  <c r="H112" i="2"/>
  <c r="G112" i="2"/>
  <c r="H111" i="2"/>
  <c r="G111" i="2"/>
  <c r="H110" i="2"/>
  <c r="G110" i="2"/>
  <c r="H109" i="2"/>
  <c r="G109" i="2"/>
  <c r="H108" i="2"/>
  <c r="G108" i="2"/>
  <c r="H107" i="2"/>
  <c r="G107" i="2"/>
  <c r="H106" i="2"/>
  <c r="G106" i="2"/>
  <c r="H105" i="2"/>
  <c r="G105" i="2"/>
  <c r="H104" i="2"/>
  <c r="G104" i="2"/>
  <c r="H103" i="2"/>
  <c r="G103" i="2"/>
  <c r="H102" i="2"/>
  <c r="G102" i="2"/>
  <c r="H101" i="2"/>
  <c r="G101" i="2"/>
  <c r="H100" i="2"/>
  <c r="G100" i="2"/>
  <c r="H99" i="2"/>
  <c r="G99" i="2"/>
  <c r="H98" i="2"/>
  <c r="G98" i="2"/>
  <c r="H97" i="2"/>
  <c r="G97" i="2"/>
  <c r="H96" i="2"/>
  <c r="G96" i="2"/>
  <c r="H95" i="2"/>
  <c r="G95" i="2"/>
  <c r="H94" i="2"/>
  <c r="G94" i="2"/>
  <c r="H93" i="2"/>
  <c r="G93" i="2"/>
  <c r="H92" i="2"/>
  <c r="G92" i="2"/>
  <c r="H91" i="2"/>
  <c r="G91" i="2"/>
  <c r="H90" i="2"/>
  <c r="G90" i="2"/>
  <c r="H89" i="2"/>
  <c r="G89" i="2"/>
  <c r="H88" i="2"/>
  <c r="G88" i="2"/>
  <c r="H87" i="2"/>
  <c r="G87" i="2"/>
  <c r="H86" i="2"/>
  <c r="G86" i="2"/>
  <c r="H85" i="2"/>
  <c r="G85" i="2"/>
  <c r="H84" i="2"/>
  <c r="G84" i="2"/>
  <c r="H83" i="2"/>
  <c r="G83" i="2"/>
  <c r="H82" i="2"/>
  <c r="G82" i="2"/>
  <c r="H81" i="2"/>
  <c r="G81" i="2"/>
  <c r="H80" i="2"/>
  <c r="G80" i="2"/>
  <c r="H79" i="2"/>
  <c r="G79" i="2"/>
  <c r="H78" i="2"/>
  <c r="G78" i="2"/>
  <c r="H77" i="2"/>
  <c r="G77" i="2"/>
  <c r="H76" i="2"/>
  <c r="G76" i="2"/>
  <c r="H75" i="2"/>
  <c r="G75" i="2"/>
  <c r="H74" i="2"/>
  <c r="G74" i="2"/>
  <c r="H73" i="2"/>
  <c r="G73" i="2"/>
  <c r="H72" i="2"/>
  <c r="G72" i="2"/>
  <c r="H71" i="2"/>
  <c r="G71" i="2"/>
  <c r="H70" i="2"/>
  <c r="G70" i="2"/>
  <c r="H69" i="2"/>
  <c r="G69" i="2"/>
  <c r="H68" i="2"/>
  <c r="G68" i="2"/>
  <c r="H67" i="2"/>
  <c r="G67" i="2"/>
  <c r="H66" i="2"/>
  <c r="G66" i="2"/>
  <c r="H65" i="2"/>
  <c r="G65" i="2"/>
  <c r="H64" i="2"/>
  <c r="G64" i="2"/>
  <c r="H63" i="2"/>
  <c r="G63" i="2"/>
  <c r="H62" i="2"/>
  <c r="G62" i="2"/>
  <c r="H61" i="2"/>
  <c r="G61" i="2"/>
  <c r="H60" i="2"/>
  <c r="G60" i="2"/>
  <c r="H59" i="2"/>
  <c r="G59" i="2"/>
  <c r="H58" i="2"/>
  <c r="G58" i="2"/>
  <c r="H57" i="2"/>
  <c r="G57" i="2"/>
  <c r="H56" i="2"/>
  <c r="G56" i="2"/>
  <c r="H55" i="2"/>
  <c r="G55" i="2"/>
  <c r="H54" i="2"/>
  <c r="G54" i="2"/>
  <c r="H53" i="2"/>
  <c r="G53" i="2"/>
  <c r="H52" i="2"/>
  <c r="G52" i="2"/>
  <c r="H51" i="2"/>
  <c r="G51" i="2"/>
  <c r="H50" i="2"/>
  <c r="G50" i="2"/>
  <c r="H49" i="2"/>
  <c r="G49" i="2"/>
  <c r="H48" i="2"/>
  <c r="G48" i="2"/>
  <c r="H47" i="2"/>
  <c r="G47" i="2"/>
  <c r="H46" i="2"/>
  <c r="G46" i="2"/>
  <c r="H45" i="2"/>
  <c r="G45" i="2"/>
  <c r="H44" i="2"/>
  <c r="G44" i="2"/>
  <c r="H43" i="2"/>
  <c r="G43" i="2"/>
  <c r="H42" i="2"/>
  <c r="G42" i="2"/>
  <c r="H41" i="2"/>
  <c r="G41" i="2"/>
  <c r="H40" i="2"/>
  <c r="G40" i="2"/>
  <c r="H39" i="2"/>
  <c r="G39" i="2"/>
  <c r="H38" i="2"/>
  <c r="G38" i="2"/>
  <c r="H37" i="2"/>
  <c r="G37" i="2"/>
  <c r="H36" i="2"/>
  <c r="G36" i="2"/>
  <c r="H35" i="2"/>
  <c r="G35" i="2"/>
  <c r="H34" i="2"/>
  <c r="G34" i="2"/>
  <c r="H33" i="2"/>
  <c r="G33" i="2"/>
  <c r="H32" i="2"/>
  <c r="G32" i="2"/>
  <c r="H31" i="2"/>
  <c r="G31" i="2"/>
  <c r="H30" i="2"/>
  <c r="G30" i="2"/>
  <c r="H29" i="2"/>
  <c r="G29" i="2"/>
  <c r="H28" i="2"/>
  <c r="G28" i="2"/>
  <c r="H27" i="2"/>
  <c r="G27" i="2"/>
  <c r="H26" i="2"/>
  <c r="G26" i="2"/>
  <c r="H25" i="2"/>
  <c r="G25" i="2"/>
  <c r="H24" i="2"/>
  <c r="G24" i="2"/>
  <c r="H23" i="2"/>
  <c r="G23" i="2"/>
  <c r="H22" i="2"/>
  <c r="G22" i="2"/>
  <c r="H21" i="2"/>
  <c r="G21" i="2"/>
  <c r="H20" i="2"/>
  <c r="G20" i="2"/>
  <c r="H19" i="2"/>
  <c r="G19" i="2"/>
  <c r="H18" i="2"/>
  <c r="G18" i="2"/>
  <c r="H17" i="2"/>
  <c r="G17" i="2"/>
  <c r="H16" i="2"/>
  <c r="G16" i="2"/>
  <c r="H15" i="2"/>
  <c r="G15" i="2"/>
  <c r="H14" i="2"/>
  <c r="G14" i="2"/>
  <c r="H13" i="2"/>
  <c r="G13" i="2"/>
  <c r="H12" i="2"/>
  <c r="G12" i="2"/>
  <c r="H11" i="2"/>
  <c r="G11" i="2"/>
  <c r="H10" i="2"/>
  <c r="G10" i="2"/>
  <c r="H9" i="2"/>
  <c r="G9" i="2"/>
  <c r="H8" i="2"/>
  <c r="G8" i="2"/>
  <c r="H7" i="2"/>
  <c r="G7" i="2"/>
  <c r="H6" i="2"/>
  <c r="G6" i="2"/>
  <c r="H5" i="2"/>
  <c r="B12" i="1" s="1"/>
  <c r="G5" i="2"/>
  <c r="E45" i="1"/>
  <c r="D45" i="1"/>
  <c r="F44" i="1"/>
  <c r="E44" i="1"/>
  <c r="D44" i="1"/>
  <c r="F43" i="1"/>
  <c r="E43" i="1"/>
  <c r="D43" i="1"/>
  <c r="F42" i="1"/>
  <c r="E42" i="1"/>
  <c r="D42" i="1"/>
  <c r="F41" i="1"/>
  <c r="E41" i="1"/>
  <c r="D41" i="1"/>
  <c r="F40" i="1"/>
  <c r="E40" i="1"/>
  <c r="D40" i="1"/>
  <c r="F39" i="1"/>
  <c r="E39" i="1"/>
  <c r="D39" i="1"/>
  <c r="F38" i="1"/>
  <c r="E38" i="1"/>
  <c r="D38" i="1"/>
  <c r="F37" i="1"/>
  <c r="E37" i="1"/>
  <c r="D37" i="1"/>
  <c r="F36" i="1"/>
  <c r="E36" i="1"/>
  <c r="D36" i="1"/>
  <c r="F35" i="1"/>
  <c r="E35" i="1"/>
  <c r="D35" i="1"/>
  <c r="F34" i="1"/>
  <c r="E34" i="1"/>
  <c r="D34" i="1"/>
  <c r="F33" i="1"/>
  <c r="E33" i="1"/>
  <c r="D33" i="1"/>
  <c r="F32" i="1"/>
  <c r="E32" i="1"/>
  <c r="D32" i="1"/>
  <c r="F31" i="1"/>
  <c r="E31" i="1"/>
  <c r="D31" i="1"/>
  <c r="E22" i="1"/>
  <c r="D22" i="1"/>
  <c r="C22" i="1"/>
  <c r="B22" i="1"/>
  <c r="F45" i="1" l="1"/>
</calcChain>
</file>

<file path=xl/sharedStrings.xml><?xml version="1.0" encoding="utf-8"?>
<sst xmlns="http://schemas.openxmlformats.org/spreadsheetml/2006/main" count="635" uniqueCount="305">
  <si>
    <t>GREYPIKE  ·  SPRS SCORE CALCULATOR — NIST SP 800-171 R2</t>
  </si>
  <si>
    <t>SPRS Self-Assessment Score</t>
  </si>
  <si>
    <t>Use the '📋 Assessment' sheet to mark each control. This dashboard updates automatically.</t>
  </si>
  <si>
    <t>CURRENT SPRS SCORE</t>
  </si>
  <si>
    <t>Score range: −203 (all unmet) → +110 (perfect)</t>
  </si>
  <si>
    <t>MET</t>
  </si>
  <si>
    <t>PARTIALLY MET</t>
  </si>
  <si>
    <t>UNMET</t>
  </si>
  <si>
    <t>NOT ASSESSED</t>
  </si>
  <si>
    <t>CONTROL FAMILY</t>
  </si>
  <si>
    <t>CONTROLS</t>
  </si>
  <si>
    <t>UNMET/PARTIAL</t>
  </si>
  <si>
    <t>SCORE</t>
  </si>
  <si>
    <t>Access Control</t>
  </si>
  <si>
    <t>Awareness and Training</t>
  </si>
  <si>
    <t>Audit and Accountability</t>
  </si>
  <si>
    <t>Configuration Management</t>
  </si>
  <si>
    <t>Identification and Authentication</t>
  </si>
  <si>
    <t>Incident response</t>
  </si>
  <si>
    <t>Maintenance</t>
  </si>
  <si>
    <t>Media Protection</t>
  </si>
  <si>
    <t>Personnel Security</t>
  </si>
  <si>
    <t>Physical Protection</t>
  </si>
  <si>
    <t>Risk Assessment</t>
  </si>
  <si>
    <t>Security Assessment</t>
  </si>
  <si>
    <t>System and Communications Protection</t>
  </si>
  <si>
    <t>System and Information Integrity</t>
  </si>
  <si>
    <t>TOTAL</t>
  </si>
  <si>
    <t>SPRS = 110 + sum of scored controls. Met=0 pts | Partially Met=−½ penalty | Unmet or Not Assessed=−full penalty. Range: −203 to +110.</t>
  </si>
  <si>
    <t>GREYPIKE  ·  NIST SP 800-171 R2  ·  SPRS SELF-ASSESSMENT  ·  ENTER STATUS IN COLUMN F</t>
  </si>
  <si>
    <t xml:space="preserve">  ▶  MET = fully implemented or not applicable (N/A must be justified in Notes)    ▶  PARTIALLY MET = partially implemented    ▶  UNMET = not implemented    ▶  NOT ASSESSED = not yet reviewed (default)</t>
  </si>
  <si>
    <t>TYPE</t>
  </si>
  <si>
    <t>CONTROL ID</t>
  </si>
  <si>
    <t>SECURITY REQUIREMENT</t>
  </si>
  <si>
    <t>PENALTY</t>
  </si>
  <si>
    <t>▼ SELECT STATUS</t>
  </si>
  <si>
    <t>STATUS</t>
  </si>
  <si>
    <t>SCORE IMPACT</t>
  </si>
  <si>
    <t>ASSESSOR NOTES</t>
  </si>
  <si>
    <t>BASIC</t>
  </si>
  <si>
    <t>03.01.01</t>
  </si>
  <si>
    <t>Limit system access to authorized users, processes acting on behalf of authorized users, and devices (including other systems).</t>
  </si>
  <si>
    <t>Not Assessed</t>
  </si>
  <si>
    <t>03.01.02</t>
  </si>
  <si>
    <t>Limit system access to the types of transactions and functions that authorized users are permitted to execute.</t>
  </si>
  <si>
    <t>DERIVED</t>
  </si>
  <si>
    <t>03.01.03</t>
  </si>
  <si>
    <t>Control the flow of CUI in accordance with approved authorizations.</t>
  </si>
  <si>
    <t>03.01.04</t>
  </si>
  <si>
    <t>Separate the duties of individuals to reduce the risk of malevolent activity without collusion.</t>
  </si>
  <si>
    <t>03.01.05</t>
  </si>
  <si>
    <t>Employ the principle of least privilege, including for specific security functions and privileged accounts.</t>
  </si>
  <si>
    <t>03.01.06</t>
  </si>
  <si>
    <t>Use non-privileged accounts or roles when accessing nonsecurity functions</t>
  </si>
  <si>
    <t>03.01.07</t>
  </si>
  <si>
    <t>Prevent non-privileged users from executing privileged functions and capture the execution of such functions in audit logs.</t>
  </si>
  <si>
    <t>03.01.08</t>
  </si>
  <si>
    <t>Limit unsuccessful logon attempts.</t>
  </si>
  <si>
    <t>03.01.09</t>
  </si>
  <si>
    <t>Provide privacy and security notices consistent with applicable CUI rules.</t>
  </si>
  <si>
    <t>03.01.10</t>
  </si>
  <si>
    <t>Use session lock with pattern-hiding displays to prevent access and viewing of data after a period of inactivity</t>
  </si>
  <si>
    <t>03.01.11</t>
  </si>
  <si>
    <t>Terminate (automatically) a user session after a defined condition.</t>
  </si>
  <si>
    <t>03.01.12</t>
  </si>
  <si>
    <t>Monitor and control remote access sessions.</t>
  </si>
  <si>
    <t>03.01.13</t>
  </si>
  <si>
    <t>Employ cryptographic mechanisms to protect the confidentiality of remote access sessions.</t>
  </si>
  <si>
    <t>03.01.14</t>
  </si>
  <si>
    <t>Route remote access via managed access control points.</t>
  </si>
  <si>
    <t>03.01.15</t>
  </si>
  <si>
    <t>Authorize remote execution of privileged commands and remote access to security-relevant information.</t>
  </si>
  <si>
    <t>03.01.16</t>
  </si>
  <si>
    <t>Authorize wireless access prior to allowing such connections</t>
  </si>
  <si>
    <t>03.01.17</t>
  </si>
  <si>
    <t>Protect wireless access using authentication and encryption</t>
  </si>
  <si>
    <t>03.01.18</t>
  </si>
  <si>
    <t>Control connection of mobile devices.</t>
  </si>
  <si>
    <t>03.01.19</t>
  </si>
  <si>
    <t>Encrypt CUI on mobile devices and mobile computing platforms.[23]</t>
  </si>
  <si>
    <t>03.01.20</t>
  </si>
  <si>
    <t>Verify and control/limit connections to and use of external systems.</t>
  </si>
  <si>
    <t>03.01.21</t>
  </si>
  <si>
    <t>Limit use of portable storage devices on external systems.</t>
  </si>
  <si>
    <t>03.01.22</t>
  </si>
  <si>
    <t>Control CUI posted or processed on publicly accessible systems.</t>
  </si>
  <si>
    <t>03.02.01</t>
  </si>
  <si>
    <t>Ensure that managers, systems administrators, and users of organizational systems are made aware of the security risks associated with their activities and of the applicable policies, standards, and procedures related to the security of those systems.</t>
  </si>
  <si>
    <t>03.02.02</t>
  </si>
  <si>
    <t>Ensure that personnel are trained to carry out their assigned information security-related duties and responsibilities.</t>
  </si>
  <si>
    <t>03.02.03</t>
  </si>
  <si>
    <t>Provide security awareness training on recognizing and reporting potential indicators of insider threat.</t>
  </si>
  <si>
    <t>03.03.01</t>
  </si>
  <si>
    <t>Create and retain system audit logs and records to the extent needed to enable the monitoring, analysis, investigation, and reporting of unlawful or unauthorized system activity</t>
  </si>
  <si>
    <t>03.03.02</t>
  </si>
  <si>
    <t>Ensure that the actions of individual system users can be uniquely traced to those users, so they can be held accountable for their actions.</t>
  </si>
  <si>
    <t>03.03.03</t>
  </si>
  <si>
    <t>Review and update logged events.</t>
  </si>
  <si>
    <t>03.03.04</t>
  </si>
  <si>
    <t>Alert in the event of an audit logging process failure.</t>
  </si>
  <si>
    <t>03.03.05</t>
  </si>
  <si>
    <t>Correlate audit record review, analysis, and reporting processes for investigation and response to indications of unlawful, unauthorized, suspicious, or unusual activity.</t>
  </si>
  <si>
    <t>03.03.06</t>
  </si>
  <si>
    <t>Provide audit record reduction and report generation to support on-demand analysis and reporting.</t>
  </si>
  <si>
    <t>03.03.07</t>
  </si>
  <si>
    <t>Provide a system capability that compares and synchronizes internal system clocks with an authoritative source to generate time stamps for audit records</t>
  </si>
  <si>
    <t>03.03.08</t>
  </si>
  <si>
    <t>Protect audit information and audit logging tools from unauthorized access, modification, and deletion.</t>
  </si>
  <si>
    <t>03.03.09</t>
  </si>
  <si>
    <t>Limit management of audit logging functionality to a subset of privileged users.</t>
  </si>
  <si>
    <t>03.04.01</t>
  </si>
  <si>
    <t>Establish and maintain baseline configurations and inventories of organizational systems (including hardware, software, firmware, and documentation) throughout the respective system development life cycles.</t>
  </si>
  <si>
    <t>03.04.02</t>
  </si>
  <si>
    <t>Establish and enforce security configuration settings for information technology products employed in organizational systems.</t>
  </si>
  <si>
    <t>03.04.03</t>
  </si>
  <si>
    <t>Track, review, approve or disapprove, and log changes to organizational systems.</t>
  </si>
  <si>
    <t>03.04.04</t>
  </si>
  <si>
    <t>Analyze the security impact of changes prior to implementation.</t>
  </si>
  <si>
    <t>03.04.05</t>
  </si>
  <si>
    <t>Define, document, approve, and enforce physical and logical access restrictions associated with changes to organizational systems.</t>
  </si>
  <si>
    <t>03.04.06</t>
  </si>
  <si>
    <t>Employ the principle of least functionality by configuring organizational systems to provide only essential capabilities.</t>
  </si>
  <si>
    <t>03.04.07</t>
  </si>
  <si>
    <t>Restrict, disable, or prevent the use of nonessential programs, functions, ports, protocols, and services.</t>
  </si>
  <si>
    <t>03.04.08</t>
  </si>
  <si>
    <t>Apply deny-by-exception (blacklisting) policy to prevent the use of unauthorized software or deny-all, permit-by-exception (whitelisting) policy to allow the execution of authorized software.</t>
  </si>
  <si>
    <t>03.04.09</t>
  </si>
  <si>
    <t>Control and monitor user-installed software.</t>
  </si>
  <si>
    <t>03.05.01</t>
  </si>
  <si>
    <t>Identify system users, processes acting on behalf of users, and devices.</t>
  </si>
  <si>
    <t>03.05.02</t>
  </si>
  <si>
    <t>Authenticate (or verify) the identities of users, processes, or devices, as a prerequisite to allowing access to organizational systems.</t>
  </si>
  <si>
    <t>03.05.03</t>
  </si>
  <si>
    <t>Use multifactor authentication for local and network access to privileged accounts and for network access to non-privileged accounts.[24] [25].  Subtract 5 points if MFA not implemented.  Subtract 3 points if implemented for remote and privileged users, but not the general user</t>
  </si>
  <si>
    <t>03.05.04</t>
  </si>
  <si>
    <t>Employ replay-resistant authentication mechanisms for network access to privileged and non-privileged accounts.</t>
  </si>
  <si>
    <t>03.05.05</t>
  </si>
  <si>
    <t>Prevent reuse of identifiers for a defined period.</t>
  </si>
  <si>
    <t>03.05.06</t>
  </si>
  <si>
    <t>Disable identifiers after a defined period of inactivity.</t>
  </si>
  <si>
    <t>03.05.07</t>
  </si>
  <si>
    <t>Enforce a minimum password complexity and change of characters when new passwords are created.</t>
  </si>
  <si>
    <t>03.05.08</t>
  </si>
  <si>
    <t>Prohibit password reuse for a specified number of generations.</t>
  </si>
  <si>
    <t>03.05.09</t>
  </si>
  <si>
    <t>Allow temporary password use for system logons with an immediate change to a permanent password.</t>
  </si>
  <si>
    <t>03.05.10</t>
  </si>
  <si>
    <t>Store and transmit only cryptographically-protected passwords.</t>
  </si>
  <si>
    <t>03.05.11</t>
  </si>
  <si>
    <t>Obscure feedback of authentication information</t>
  </si>
  <si>
    <t>03.06.01</t>
  </si>
  <si>
    <t>Establish an operational incident-handling capability for organizational systems that includes preparation, detection, analysis, containment, recovery, and user response activities.</t>
  </si>
  <si>
    <t>03.06.02</t>
  </si>
  <si>
    <t>Track, document, and report incidents to designated officials and/or authorities both internal and external to the organization.</t>
  </si>
  <si>
    <t>03.06.03</t>
  </si>
  <si>
    <t>Test the organizational incident response capability.</t>
  </si>
  <si>
    <t>03.07.01</t>
  </si>
  <si>
    <t>Perform maintenance on organizational systems.[26].</t>
  </si>
  <si>
    <t>03.07.02</t>
  </si>
  <si>
    <t>Provide controls on the tools, techniques, mechanisms, and personnel used to conduct system maintenance.</t>
  </si>
  <si>
    <t>03.07.03</t>
  </si>
  <si>
    <t>Ensure equipment removed for off-site maintenance is sanitized of any CUI.</t>
  </si>
  <si>
    <t>03.07.04</t>
  </si>
  <si>
    <t>Check media containing diagnostic and test programs for malicious code before the media are used in organizational systems.</t>
  </si>
  <si>
    <t>03.07.05</t>
  </si>
  <si>
    <t>Require multifactor authentication to establish nonlocal maintenance sessions via external network connections and terminate such connections when nonlocal maintenance is complete.</t>
  </si>
  <si>
    <t>03.07.06</t>
  </si>
  <si>
    <t>Supervise the maintenance activities of maintenance personnel without required access authorization.</t>
  </si>
  <si>
    <t>03.08.01</t>
  </si>
  <si>
    <t>Protect (i.e., physically control and securely store) system media containing CUI, both paper and digital. Exposure limited to CUI on media</t>
  </si>
  <si>
    <t>03.08.02</t>
  </si>
  <si>
    <t>Limit access to CUI on system media to authorized users. Exposure limited to CUI on media</t>
  </si>
  <si>
    <t>03.08.03</t>
  </si>
  <si>
    <t>Sanitize or destroy system media containing CUI before disposal or release for reuse.</t>
  </si>
  <si>
    <t>03.08.04</t>
  </si>
  <si>
    <t>Mark media with necessary CUI markings and distribution limitations.[27]</t>
  </si>
  <si>
    <t>03.08.05</t>
  </si>
  <si>
    <t>Control access to media containing CUI and maintain accountability for media during transport outside of controlled areas.</t>
  </si>
  <si>
    <t>03.08.06</t>
  </si>
  <si>
    <t>Implement cryptographic mechanisms to protect the confidentiality of CUI stored on digital media during transport unless otherwise protected by alternative physical safeguards.</t>
  </si>
  <si>
    <t>03.08.07</t>
  </si>
  <si>
    <t>Control the use of removable media on system components.</t>
  </si>
  <si>
    <t>03.08.08</t>
  </si>
  <si>
    <t>Prohibit the use of portable storage devices when such devices have no identifiable owner.</t>
  </si>
  <si>
    <t>03.08.09</t>
  </si>
  <si>
    <t>Protect the confidentiality of backup CUI at storage locations.</t>
  </si>
  <si>
    <t>03.09.01</t>
  </si>
  <si>
    <t>Screen individuals prior to authorizing access to organizational systems containing CUI.</t>
  </si>
  <si>
    <t>03.09.02</t>
  </si>
  <si>
    <t>Ensure that organizational systems containing CUI are protected during and after personnel actions such as terminations and transfers</t>
  </si>
  <si>
    <t>03.10.01</t>
  </si>
  <si>
    <t>Limit physical access to organizational systems, equipment, and the respective operating environments to authorized individuals.</t>
  </si>
  <si>
    <t>03.10.02</t>
  </si>
  <si>
    <t>Protect and monitor the physical facility and support infrastructure for organizational systems.</t>
  </si>
  <si>
    <t>03.10.03</t>
  </si>
  <si>
    <t>Escort visitors and monitor visitor activity.</t>
  </si>
  <si>
    <t>03.10.04</t>
  </si>
  <si>
    <t>Maintain audit logs of physical access.</t>
  </si>
  <si>
    <t>03.10.05</t>
  </si>
  <si>
    <t>Control and manage physical access devices.</t>
  </si>
  <si>
    <t>03.10.06</t>
  </si>
  <si>
    <t>Enforce safeguarding measures for CUI at alternate work sites.</t>
  </si>
  <si>
    <t>03.11.01</t>
  </si>
  <si>
    <t>Periodically assess the risk to organizational operations (including mission, functions, image, or reputation), organizational assets, and individuals, resulting from the operation of organizational systems and the associated processing, storage, or transmission of CUI</t>
  </si>
  <si>
    <t>03.11.02</t>
  </si>
  <si>
    <t>Scan for vulnerabilities in organizational systems and applications periodically and when new vulnerabilities affecting those systems and applications are identified.</t>
  </si>
  <si>
    <t>03.11.03</t>
  </si>
  <si>
    <t>Remediate vulnerabilities in accordance with risk assessments.</t>
  </si>
  <si>
    <t>03.12.01</t>
  </si>
  <si>
    <t>Periodically assess the security controls in organizational systems to determine if the controls are effective in their application.</t>
  </si>
  <si>
    <t>03.12.02</t>
  </si>
  <si>
    <t>Develop and implement plans of action designed to correct deficiencies and reduce or eliminate vulnerabilities in organizational systems.</t>
  </si>
  <si>
    <t>03.12.03</t>
  </si>
  <si>
    <t>Monitor security controls on an ongoing basis to ensure the continued effectiveness of the controls.</t>
  </si>
  <si>
    <t>03.12.04</t>
  </si>
  <si>
    <t>Develop, document, and periodically update system security plans that describe system boundaries, system environments of operation, how security requirements are implemented, and the relationships with or connections to other systems.[28]</t>
  </si>
  <si>
    <t>03.13.01</t>
  </si>
  <si>
    <t>Monitor, control, and protect communications (i.e., information transmitted or received by organizational systems) at the external boundaries and key internal boundaries of organizational systems.</t>
  </si>
  <si>
    <t>03.13.02</t>
  </si>
  <si>
    <t>Employ architectural designs, software development techniques, and systems engineering principles that promote effective information security within organizational systems.</t>
  </si>
  <si>
    <t>03.13.03</t>
  </si>
  <si>
    <t>Separate user functionality from system management functionality.</t>
  </si>
  <si>
    <t>03.13.04</t>
  </si>
  <si>
    <t>Prevent unauthorized and unintended information transfer via shared system resources.</t>
  </si>
  <si>
    <t>03.13.05</t>
  </si>
  <si>
    <t>Implement subnetworks for publicly accessible system components that are physically or logically separated from internal networks.</t>
  </si>
  <si>
    <t>03.13.06</t>
  </si>
  <si>
    <t>Deny network communications traffic by default and allow network communications traffic by exception (i.e., deny all, permit by exception).</t>
  </si>
  <si>
    <t>03.13.07</t>
  </si>
  <si>
    <t>Prevent remote devices from simultaneously establishing non-remote connections with organizational systems and communicating via some other connection to resources in external networks (i.e., split tunneling).</t>
  </si>
  <si>
    <t>03.13.08</t>
  </si>
  <si>
    <t>Implement cryptographic mechanisms to prevent unauthorized disclosure of CUI during transmission unless otherwise protected by alternative physical safeguards.</t>
  </si>
  <si>
    <t>03.13.09</t>
  </si>
  <si>
    <t>Terminate network connections associated with communications sessions at the end of the sessions or after a defined period of inactivity.</t>
  </si>
  <si>
    <t>03.13.10</t>
  </si>
  <si>
    <t>Establish and manage cryptographic keys for cryptography employed in organizational systems.</t>
  </si>
  <si>
    <t>03.13.11</t>
  </si>
  <si>
    <t>Employ FIPS-validated cryptography when used to protect the confidentiality of CUI.  Subtract 5 points if no cryptography is employed; 3 points if mostly not FIPS validated</t>
  </si>
  <si>
    <t>03.13.12</t>
  </si>
  <si>
    <t>Prohibit remote activation of collaborative computing devices and provide indication of devices in use to users present at the device.[29].</t>
  </si>
  <si>
    <t>03.13.13</t>
  </si>
  <si>
    <t>Control and monitor the use of mobile code.</t>
  </si>
  <si>
    <t>03.13.14</t>
  </si>
  <si>
    <t>Control and monitor the use of Voice over Internet Protocol (VoIP) technologies.</t>
  </si>
  <si>
    <t>03.13.15</t>
  </si>
  <si>
    <t>Protect the authenticity of communications sessions.</t>
  </si>
  <si>
    <t>03.13.16</t>
  </si>
  <si>
    <t>Protect the confidentiality of CUI at rest.</t>
  </si>
  <si>
    <t>03.14.01</t>
  </si>
  <si>
    <t>Identify, report, and correct system flaws in a timely manner.</t>
  </si>
  <si>
    <t>03.14.02</t>
  </si>
  <si>
    <t>Provide protection from malicious code at designated locations within organizational systems.</t>
  </si>
  <si>
    <t>03.14.03</t>
  </si>
  <si>
    <t>Monitor system security alerts and advisories and take action in response.</t>
  </si>
  <si>
    <t>03.14.04</t>
  </si>
  <si>
    <t>Update malicious code protection mechanisms when new releases are available.</t>
  </si>
  <si>
    <t>03.14.05</t>
  </si>
  <si>
    <t>Perform periodic scans of organizational systems and real-time scans of files from external sources as files are downloaded, opened, or executed.</t>
  </si>
  <si>
    <t>03.14.06</t>
  </si>
  <si>
    <t>Monitor organizational systems, including inbound and outbound communications traffic, to detect attacks and indicators of potential attacks.</t>
  </si>
  <si>
    <t>03.14.07</t>
  </si>
  <si>
    <t>Identify unauthorized use of organizational systems.</t>
  </si>
  <si>
    <t>GREYPIKE  ·  SPRS SCORE CALCULATOR  ·  INSTRUCTIONS &amp; REFERENCE</t>
  </si>
  <si>
    <t>NIST SP 800-171 Rev 2  |  Supplier Performance Risk System (SPRS) Self-Assessment Tool</t>
  </si>
  <si>
    <t>WHAT IS SPRS?</t>
  </si>
  <si>
    <t>The Supplier Performance Risk System (SPRS) is the DoD system where defense contractors self-report their NIST SP 800-171 assessment score. All DoD contractors handling CUI must have a current score in SPRS.</t>
  </si>
  <si>
    <t>A contracting officer can view your SPRS score when evaluating your bid. A low or missing score can disqualify you from contract awards. The target is +110 (all controls met).</t>
  </si>
  <si>
    <t>HOW THE SCORE IS CALCULATED</t>
  </si>
  <si>
    <t>NIST 800-171 has 110 security requirements across 14 control families. Each control has a penalty point value (1, 3, or 5 points).</t>
  </si>
  <si>
    <t>Your score starts at 110. Points are deducted based on your assessment:</t>
  </si>
  <si>
    <t xml:space="preserve">  •  Met (or Not Applicable): 0 points deducted — full credit</t>
  </si>
  <si>
    <t xml:space="preserve">  •  Partially Met: Half the penalty points deducted (rounded up)</t>
  </si>
  <si>
    <t xml:space="preserve">  •  Unmet: Full penalty points deducted</t>
  </si>
  <si>
    <t xml:space="preserve">  •  Not Assessed: Full penalty points deducted (same as Unmet)</t>
  </si>
  <si>
    <t>Total possible deductions: 313 points. SPRS score range: −203 (all unmet) to +110 (perfect).</t>
  </si>
  <si>
    <t>HOW TO USE THIS TOOL</t>
  </si>
  <si>
    <t>1.  Open the '📋 Assessment' sheet. This is your primary working sheet.</t>
  </si>
  <si>
    <t>2.  Read each Security Requirement in column D carefully.</t>
  </si>
  <si>
    <t>3.  Review the control ID (column C) and penalty points (column E).</t>
  </si>
  <si>
    <t>4.  Click the dropdown in column F (▼ SELECT STATUS) and choose one of four options.</t>
  </si>
  <si>
    <t>5.  Add notes in column I — required for any control marked Not Applicable or Partially Met.</t>
  </si>
  <si>
    <t>6.  Check the '📊 Dashboard' sheet at any time for your running score and family breakdown.</t>
  </si>
  <si>
    <t>7.  When complete, your SPRS score is in the large number on the Dashboard.</t>
  </si>
  <si>
    <t>STATUS DEFINITIONS</t>
  </si>
  <si>
    <t>MET — Your organization has fully implemented this control. Also use Met for controls that are genuinely Not Applicable to your environment — but document your justification in column I.</t>
  </si>
  <si>
    <t>PARTIALLY MET — You have some implementation in place but the control is not fully satisfied. Half the penalty points are deducted (rounded up).</t>
  </si>
  <si>
    <t>UNMET — This control applies to your organization and has not yet been implemented. Full penalty points are deducted.</t>
  </si>
  <si>
    <t>NOT ASSESSED — You have not yet evaluated this control. This is the default value. Full penalty points are deducted. Do not submit your SPRS score to DoD until all controls have been assessed.</t>
  </si>
  <si>
    <t>IMPORTANT NOTES</t>
  </si>
  <si>
    <t>•  This tool is for self-assessment purposes. It does not constitute a formal CMMC assessment.</t>
  </si>
  <si>
    <t>•  You self-report this score at: https://www.sprs.csd.disa.mil/</t>
  </si>
  <si>
    <t>•  CMMC Level 2 formal certification requires a C3PAO third-party assessment — self-assessment alone is not sufficient for most CUI contracts.</t>
  </si>
  <si>
    <t>•  Controls marked Not Applicable require written justification to withstand assessor scrutiny.</t>
  </si>
  <si>
    <t>•  Your SPRS score may be reviewed by DoD contracting officers. False reporting carries legal risk under the False Claims Act.</t>
  </si>
  <si>
    <t>•  This calculator is based on NIST SP 800-171 Revision 2. Note: CMMC assessments reference Rev 2 — Rev 3 is not yet used for assessments.</t>
  </si>
  <si>
    <t>ABOUT GREYPIKE</t>
  </si>
  <si>
    <t>Greypike is a Cyber AB Registered Practitioner Advanced firm specializing in CMMC compliance and CUI environment design for small defense contractors.</t>
  </si>
  <si>
    <t xml:space="preserve">  •  Free CUI Scoping Session: greypike.com/cui-scoping-session</t>
  </si>
  <si>
    <t xml:space="preserve">  •  Managed Enclave Feasibility Session: greypike.com/managed-enclave-feasibility</t>
  </si>
  <si>
    <t xml:space="preserve">  •  Website: greypike.com</t>
  </si>
  <si>
    <t>The Managed Enclave is a client-owned Azure GCC High environment with VDI, Microsoft licensing, and managed compliance — $500/user/month, deployed in two weeks.</t>
  </si>
  <si>
    <t>Values</t>
  </si>
  <si>
    <t>Met</t>
  </si>
  <si>
    <t>Unmet</t>
  </si>
  <si>
    <t>Partially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</si>
</sst>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charset val="1"/>
    </font>
    <font>
      <b/>
      <sz val="9"/>
      <color rgb="FF9B72CF"/>
      <name val="Inter"/>
      <charset val="1"/>
    </font>
    <font>
      <b/>
      <sz val="26"/>
      <color rgb="FFFFFFFF"/>
      <name val="Inter"/>
      <charset val="1"/>
    </font>
    <font>
      <sz val="10"/>
      <color rgb="FFD0C8EE"/>
      <name val="Inter"/>
      <charset val="1"/>
    </font>
    <font>
      <b/>
      <sz val="8"/>
      <color rgb="FF5C3D9E"/>
      <name val="Inter"/>
      <charset val="1"/>
    </font>
    <font>
      <b/>
      <sz val="40"/>
      <color rgb="FF2D1B69"/>
      <name val="Inter"/>
      <charset val="1"/>
    </font>
    <font>
      <i/>
      <sz val="8"/>
      <color rgb="FF4A3F6B"/>
      <name val="Inter"/>
      <charset val="1"/>
    </font>
    <font>
      <b/>
      <sz val="8"/>
      <color rgb="FF166534"/>
      <name val="Inter"/>
      <charset val="1"/>
    </font>
    <font>
      <b/>
      <sz val="8"/>
      <color rgb="FF92400E"/>
      <name val="Inter"/>
      <charset val="1"/>
    </font>
    <font>
      <b/>
      <sz val="8"/>
      <color rgb="FF991B1B"/>
      <name val="Inter"/>
      <charset val="1"/>
    </font>
    <font>
      <b/>
      <sz val="8"/>
      <color rgb="FF4A3F6B"/>
      <name val="Inter"/>
      <charset val="1"/>
    </font>
    <font>
      <b/>
      <sz val="32"/>
      <color rgb="FF166534"/>
      <name val="Inter"/>
      <charset val="1"/>
    </font>
    <font>
      <b/>
      <sz val="32"/>
      <color rgb="FF92400E"/>
      <name val="Inter"/>
      <charset val="1"/>
    </font>
    <font>
      <b/>
      <sz val="32"/>
      <color rgb="FF991B1B"/>
      <name val="Inter"/>
      <charset val="1"/>
    </font>
    <font>
      <b/>
      <sz val="32"/>
      <color rgb="FF4A3F6B"/>
      <name val="Inter"/>
      <charset val="1"/>
    </font>
    <font>
      <b/>
      <sz val="9"/>
      <color rgb="FFFFFFFF"/>
      <name val="Inter"/>
      <charset val="1"/>
    </font>
    <font>
      <sz val="9"/>
      <color rgb="FF1A1030"/>
      <name val="Inter"/>
      <charset val="1"/>
    </font>
    <font>
      <sz val="9"/>
      <color rgb="FF166534"/>
      <name val="Inter"/>
      <charset val="1"/>
    </font>
    <font>
      <sz val="9"/>
      <color rgb="FF991B1B"/>
      <name val="Inter"/>
      <charset val="1"/>
    </font>
    <font>
      <b/>
      <sz val="9"/>
      <color rgb="FF2D1B69"/>
      <name val="Inter"/>
      <charset val="1"/>
    </font>
    <font>
      <b/>
      <sz val="9"/>
      <color rgb="FF166534"/>
      <name val="Inter"/>
      <charset val="1"/>
    </font>
    <font>
      <b/>
      <sz val="9"/>
      <color rgb="FF991B1B"/>
      <name val="Inter"/>
      <charset val="1"/>
    </font>
    <font>
      <sz val="9"/>
      <color rgb="FFFFFFFF"/>
      <name val="Inter"/>
      <charset val="1"/>
    </font>
    <font>
      <b/>
      <sz val="8"/>
      <color rgb="FF2D1B69"/>
      <name val="Inter"/>
      <charset val="1"/>
    </font>
    <font>
      <sz val="9"/>
      <color rgb="FF4A3F6B"/>
      <name val="Inter"/>
      <charset val="1"/>
    </font>
    <font>
      <i/>
      <sz val="9"/>
      <color rgb="FF1A1030"/>
      <name val="Inter"/>
      <charset val="1"/>
    </font>
    <font>
      <sz val="8"/>
      <color rgb="FF2D1B69"/>
      <name val="Inter"/>
      <charset val="1"/>
    </font>
    <font>
      <sz val="8"/>
      <color rgb="FF4A3F6B"/>
      <name val="Inter"/>
      <charset val="1"/>
    </font>
    <font>
      <b/>
      <sz val="16"/>
      <color rgb="FFFFFFFF"/>
      <name val="Inter"/>
      <charset val="1"/>
    </font>
    <font>
      <b/>
      <sz val="10"/>
      <color rgb="FFD0C8EE"/>
      <name val="Inter"/>
      <charset val="1"/>
    </font>
    <font>
      <b/>
      <sz val="10"/>
      <color rgb="FFFFFFFF"/>
      <name val="Inter"/>
      <charset val="1"/>
    </font>
    <font>
      <b/>
      <sz val="9"/>
      <color rgb="FF1A1030"/>
      <name val="Inter"/>
      <charset val="1"/>
    </font>
  </fonts>
  <fills count="11">
    <fill>
      <patternFill patternType="none"/>
    </fill>
    <fill>
      <patternFill patternType="gray125"/>
    </fill>
    <fill>
      <patternFill patternType="solid">
        <fgColor rgb="FF2D1B69"/>
        <bgColor rgb="FF1A1030"/>
      </patternFill>
    </fill>
    <fill>
      <patternFill patternType="solid">
        <fgColor rgb="FF5C3D9E"/>
        <bgColor rgb="FF4A3F6B"/>
      </patternFill>
    </fill>
    <fill>
      <patternFill patternType="solid">
        <fgColor rgb="FFF7F4FD"/>
        <bgColor rgb="FFF5F5F5"/>
      </patternFill>
    </fill>
    <fill>
      <patternFill patternType="solid">
        <fgColor rgb="FFFFFFFF"/>
        <bgColor rgb="FFFFFBEB"/>
      </patternFill>
    </fill>
    <fill>
      <patternFill patternType="solid">
        <fgColor rgb="FFF0FDF4"/>
        <bgColor rgb="FFF5F5F5"/>
      </patternFill>
    </fill>
    <fill>
      <patternFill patternType="solid">
        <fgColor rgb="FFFFFBEB"/>
        <bgColor rgb="FFFFFFFF"/>
      </patternFill>
    </fill>
    <fill>
      <patternFill patternType="solid">
        <fgColor rgb="FFFEF2F2"/>
        <bgColor rgb="FFF7F4FD"/>
      </patternFill>
    </fill>
    <fill>
      <patternFill patternType="solid">
        <fgColor rgb="FFF5F5F5"/>
        <bgColor rgb="FFF7F4FD"/>
      </patternFill>
    </fill>
    <fill>
      <patternFill patternType="solid">
        <fgColor rgb="FFEDE8F7"/>
        <bgColor rgb="FFF7F4FD"/>
      </patternFill>
    </fill>
  </fills>
  <borders count="4">
    <border>
      <left/>
      <right/>
      <top/>
      <bottom/>
      <diagonal/>
    </border>
    <border>
      <left style="thin">
        <color rgb="FF5C3D9E"/>
      </left>
      <right style="thin">
        <color rgb="FF5C3D9E"/>
      </right>
      <top style="thin">
        <color rgb="FF5C3D9E"/>
      </top>
      <bottom style="thin">
        <color rgb="FF5C3D9E"/>
      </bottom>
      <diagonal/>
    </border>
    <border>
      <left style="thin">
        <color rgb="FFD1D5DB"/>
      </left>
      <right style="thin">
        <color rgb="FFD1D5DB"/>
      </right>
      <top style="thin">
        <color rgb="FFD1D5DB"/>
      </top>
      <bottom style="thin">
        <color rgb="FFD1D5DB"/>
      </bottom>
      <diagonal/>
    </border>
    <border>
      <left style="thin">
        <color rgb="FFD1D5DB"/>
      </left>
      <right style="thin">
        <color rgb="FFD1D5DB"/>
      </right>
      <top style="medium">
        <color rgb="FF2D1B69"/>
      </top>
      <bottom style="thin">
        <color rgb="FFD1D5DB"/>
      </bottom>
      <diagonal/>
    </border>
  </borders>
  <cellStyleXfs count="1">
    <xf numFmtId="0" fontId="0" fillId="0" borderId="0"/>
  </cellStyleXfs>
  <cellXfs count="57">
    <xf numFmtId="0" fontId="0" fillId="0" borderId="0" xfId="0"/>
    <xf numFmtId="0" fontId="13" fillId="8" borderId="0" xfId="0" applyFont="1" applyFill="1" applyAlignment="1">
      <alignment horizontal="center" vertical="center"/>
    </xf>
    <xf numFmtId="0" fontId="12" fillId="7" borderId="0" xfId="0" applyFont="1" applyFill="1" applyAlignment="1">
      <alignment horizontal="center" vertical="center"/>
    </xf>
    <xf numFmtId="0" fontId="11" fillId="6" borderId="0" xfId="0" applyFont="1" applyFill="1" applyAlignment="1">
      <alignment horizontal="center" vertical="center"/>
    </xf>
    <xf numFmtId="0" fontId="10" fillId="9" borderId="0" xfId="0" applyFont="1" applyFill="1" applyAlignment="1">
      <alignment horizontal="center" vertical="center"/>
    </xf>
    <xf numFmtId="0" fontId="9" fillId="8" borderId="0" xfId="0" applyFont="1" applyFill="1" applyAlignment="1">
      <alignment horizontal="center" vertical="center"/>
    </xf>
    <xf numFmtId="0" fontId="8" fillId="7" borderId="0" xfId="0" applyFont="1" applyFill="1" applyAlignment="1">
      <alignment horizontal="center" vertical="center"/>
    </xf>
    <xf numFmtId="0" fontId="7" fillId="6" borderId="0" xfId="0" applyFont="1" applyFill="1" applyAlignment="1">
      <alignment horizontal="center" vertical="center"/>
    </xf>
    <xf numFmtId="0" fontId="6" fillId="5" borderId="0" xfId="0" applyFont="1" applyFill="1" applyAlignment="1">
      <alignment horizontal="left" vertical="center"/>
    </xf>
    <xf numFmtId="0" fontId="5" fillId="4" borderId="0" xfId="0" applyFont="1" applyFill="1" applyAlignment="1">
      <alignment horizontal="center" vertical="center"/>
    </xf>
    <xf numFmtId="0" fontId="4" fillId="4" borderId="0" xfId="0" applyFont="1" applyFill="1" applyAlignment="1">
      <alignment horizontal="left" vertical="center"/>
    </xf>
    <xf numFmtId="0" fontId="0" fillId="3" borderId="0" xfId="0" applyFill="1"/>
    <xf numFmtId="0" fontId="3" fillId="2" borderId="0" xfId="0" applyFont="1" applyFill="1" applyAlignment="1">
      <alignment horizontal="left" vertical="center" wrapText="1"/>
    </xf>
    <xf numFmtId="0" fontId="2" fillId="2" borderId="0" xfId="0" applyFont="1" applyFill="1" applyAlignment="1">
      <alignment horizontal="left" vertical="center"/>
    </xf>
    <xf numFmtId="0" fontId="1" fillId="2" borderId="0" xfId="0" applyFont="1" applyFill="1" applyAlignment="1">
      <alignment horizontal="left" vertical="center"/>
    </xf>
    <xf numFmtId="0" fontId="15" fillId="2" borderId="1" xfId="0" applyFont="1" applyFill="1" applyBorder="1" applyAlignment="1">
      <alignment horizontal="left" vertical="center"/>
    </xf>
    <xf numFmtId="0" fontId="15" fillId="2" borderId="1" xfId="0" applyFont="1" applyFill="1" applyBorder="1" applyAlignment="1">
      <alignment horizontal="center" vertical="center"/>
    </xf>
    <xf numFmtId="0" fontId="16" fillId="4" borderId="2" xfId="0" applyFont="1" applyFill="1" applyBorder="1" applyAlignment="1">
      <alignment horizontal="left" vertical="center"/>
    </xf>
    <xf numFmtId="0" fontId="16" fillId="4" borderId="2" xfId="0" applyFont="1" applyFill="1" applyBorder="1" applyAlignment="1">
      <alignment horizontal="center" vertical="center"/>
    </xf>
    <xf numFmtId="0" fontId="17" fillId="4" borderId="2" xfId="0" applyFont="1" applyFill="1" applyBorder="1" applyAlignment="1">
      <alignment horizontal="center" vertical="center"/>
    </xf>
    <xf numFmtId="0" fontId="18" fillId="4" borderId="2" xfId="0" applyFont="1" applyFill="1" applyBorder="1" applyAlignment="1">
      <alignment horizontal="center" vertical="center"/>
    </xf>
    <xf numFmtId="0" fontId="19" fillId="4" borderId="2" xfId="0" applyFont="1" applyFill="1" applyBorder="1" applyAlignment="1">
      <alignment horizontal="center" vertical="center"/>
    </xf>
    <xf numFmtId="0" fontId="16" fillId="5" borderId="2" xfId="0" applyFont="1" applyFill="1" applyBorder="1" applyAlignment="1">
      <alignment horizontal="left" vertical="center"/>
    </xf>
    <xf numFmtId="0" fontId="16" fillId="5" borderId="2" xfId="0" applyFont="1" applyFill="1" applyBorder="1" applyAlignment="1">
      <alignment horizontal="center" vertical="center"/>
    </xf>
    <xf numFmtId="0" fontId="17" fillId="5" borderId="2" xfId="0" applyFont="1" applyFill="1" applyBorder="1" applyAlignment="1">
      <alignment horizontal="center" vertical="center"/>
    </xf>
    <xf numFmtId="0" fontId="18" fillId="5" borderId="2" xfId="0" applyFont="1" applyFill="1" applyBorder="1" applyAlignment="1">
      <alignment horizontal="center" vertical="center"/>
    </xf>
    <xf numFmtId="0" fontId="19" fillId="5" borderId="2" xfId="0" applyFont="1" applyFill="1" applyBorder="1" applyAlignment="1">
      <alignment horizontal="center" vertical="center"/>
    </xf>
    <xf numFmtId="0" fontId="19" fillId="10" borderId="2" xfId="0" applyFont="1" applyFill="1" applyBorder="1" applyAlignment="1">
      <alignment horizontal="left" vertical="center"/>
    </xf>
    <xf numFmtId="0" fontId="19" fillId="10" borderId="2" xfId="0" applyFont="1" applyFill="1" applyBorder="1" applyAlignment="1">
      <alignment horizontal="center" vertical="center"/>
    </xf>
    <xf numFmtId="0" fontId="20" fillId="10" borderId="2" xfId="0" applyFont="1" applyFill="1" applyBorder="1" applyAlignment="1">
      <alignment horizontal="center" vertical="center"/>
    </xf>
    <xf numFmtId="0" fontId="21" fillId="10" borderId="2" xfId="0" applyFont="1" applyFill="1" applyBorder="1" applyAlignment="1">
      <alignment horizontal="center" vertical="center"/>
    </xf>
    <xf numFmtId="0" fontId="23" fillId="10" borderId="3" xfId="0" applyFont="1" applyFill="1" applyBorder="1" applyAlignment="1">
      <alignment horizontal="left" vertical="top" wrapText="1"/>
    </xf>
    <xf numFmtId="0" fontId="23" fillId="10" borderId="2" xfId="0" applyFont="1" applyFill="1" applyBorder="1" applyAlignment="1">
      <alignment horizontal="center" vertical="top"/>
    </xf>
    <xf numFmtId="0" fontId="4" fillId="5" borderId="2" xfId="0" applyFont="1" applyFill="1" applyBorder="1" applyAlignment="1">
      <alignment horizontal="center" vertical="top"/>
    </xf>
    <xf numFmtId="0" fontId="16" fillId="5" borderId="2" xfId="0" applyFont="1" applyFill="1" applyBorder="1" applyAlignment="1">
      <alignment horizontal="left" vertical="top" wrapText="1"/>
    </xf>
    <xf numFmtId="0" fontId="21" fillId="5" borderId="2" xfId="0" applyFont="1" applyFill="1" applyBorder="1" applyAlignment="1">
      <alignment horizontal="center" vertical="top"/>
    </xf>
    <xf numFmtId="0" fontId="24" fillId="9" borderId="2" xfId="0" applyFont="1" applyFill="1" applyBorder="1" applyAlignment="1">
      <alignment horizontal="center" vertical="top"/>
    </xf>
    <xf numFmtId="0" fontId="19" fillId="5" borderId="2" xfId="0" applyFont="1" applyFill="1" applyBorder="1" applyAlignment="1">
      <alignment horizontal="center" vertical="top"/>
    </xf>
    <xf numFmtId="0" fontId="25" fillId="5" borderId="2" xfId="0" applyFont="1" applyFill="1" applyBorder="1" applyAlignment="1">
      <alignment horizontal="left" vertical="top" wrapText="1"/>
    </xf>
    <xf numFmtId="0" fontId="26" fillId="4" borderId="2" xfId="0" applyFont="1" applyFill="1" applyBorder="1" applyAlignment="1">
      <alignment horizontal="left" vertical="top" wrapText="1"/>
    </xf>
    <xf numFmtId="0" fontId="4" fillId="4" borderId="2" xfId="0" applyFont="1" applyFill="1" applyBorder="1" applyAlignment="1">
      <alignment horizontal="center" vertical="top"/>
    </xf>
    <xf numFmtId="0" fontId="16" fillId="4" borderId="2" xfId="0" applyFont="1" applyFill="1" applyBorder="1" applyAlignment="1">
      <alignment horizontal="left" vertical="top" wrapText="1"/>
    </xf>
    <xf numFmtId="0" fontId="21" fillId="4" borderId="2" xfId="0" applyFont="1" applyFill="1" applyBorder="1" applyAlignment="1">
      <alignment horizontal="center" vertical="top"/>
    </xf>
    <xf numFmtId="0" fontId="19" fillId="4" borderId="2" xfId="0" applyFont="1" applyFill="1" applyBorder="1" applyAlignment="1">
      <alignment horizontal="center" vertical="top"/>
    </xf>
    <xf numFmtId="0" fontId="25" fillId="4" borderId="2" xfId="0" applyFont="1" applyFill="1" applyBorder="1" applyAlignment="1">
      <alignment horizontal="left" vertical="top" wrapText="1"/>
    </xf>
    <xf numFmtId="0" fontId="26" fillId="5" borderId="2" xfId="0" applyFont="1" applyFill="1" applyBorder="1" applyAlignment="1">
      <alignment horizontal="left" vertical="top" wrapText="1"/>
    </xf>
    <xf numFmtId="0" fontId="27" fillId="5" borderId="2" xfId="0" applyFont="1" applyFill="1" applyBorder="1" applyAlignment="1">
      <alignment horizontal="center" vertical="top"/>
    </xf>
    <xf numFmtId="0" fontId="27" fillId="4" borderId="2" xfId="0" applyFont="1" applyFill="1" applyBorder="1" applyAlignment="1">
      <alignment horizontal="center" vertical="top"/>
    </xf>
    <xf numFmtId="0" fontId="14" fillId="9" borderId="0" xfId="0" applyFont="1" applyFill="1" applyAlignment="1">
      <alignment horizontal="center" vertical="center"/>
    </xf>
    <xf numFmtId="0" fontId="6" fillId="0" borderId="0" xfId="0" applyFont="1" applyAlignment="1">
      <alignment horizontal="left" vertical="center" wrapText="1"/>
    </xf>
    <xf numFmtId="0" fontId="22" fillId="3" borderId="0" xfId="0" applyFont="1" applyFill="1" applyAlignment="1">
      <alignment horizontal="left" vertical="center" wrapText="1"/>
    </xf>
    <xf numFmtId="0" fontId="28" fillId="2" borderId="0" xfId="0" applyFont="1" applyFill="1" applyAlignment="1">
      <alignment horizontal="left" vertical="center"/>
    </xf>
    <xf numFmtId="0" fontId="29" fillId="3" borderId="0" xfId="0" applyFont="1" applyFill="1" applyAlignment="1">
      <alignment horizontal="left" vertical="center"/>
    </xf>
    <xf numFmtId="0" fontId="16" fillId="4" borderId="0" xfId="0" applyFont="1" applyFill="1" applyAlignment="1">
      <alignment horizontal="left" vertical="center" wrapText="1"/>
    </xf>
    <xf numFmtId="0" fontId="30" fillId="2" borderId="0" xfId="0" applyFont="1" applyFill="1" applyAlignment="1">
      <alignment horizontal="left" vertical="center"/>
    </xf>
    <xf numFmtId="0" fontId="16" fillId="5" borderId="0" xfId="0" applyFont="1" applyFill="1" applyAlignment="1">
      <alignment horizontal="left" vertical="center" wrapText="1"/>
    </xf>
    <xf numFmtId="0" fontId="31" fillId="5" borderId="0" xfId="0" applyFont="1" applyFill="1" applyAlignment="1">
      <alignment horizontal="left" vertical="center" wrapText="1"/>
    </xf>
  </cellXfs>
  <cellStyles count="1">
    <cellStyle name="Normal" xfId="0" builtinId="0"/>
  </cellStyles>
  <dxfs count="5">
    <dxf>
      <font>
        <b/>
        <sz val="9"/>
        <color rgb="FF991B1B"/>
        <name val="Inter"/>
        <charset val="1"/>
      </font>
      <fill>
        <patternFill>
          <bgColor rgb="FFFEF2F2"/>
        </patternFill>
      </fill>
    </dxf>
    <dxf>
      <font>
        <b/>
        <sz val="9"/>
        <color rgb="FF166534"/>
        <name val="Inter"/>
        <charset val="1"/>
      </font>
      <fill>
        <patternFill>
          <bgColor rgb="FFF0FDF4"/>
        </patternFill>
      </fill>
    </dxf>
    <dxf>
      <font>
        <b/>
        <sz val="9"/>
        <color rgb="FF991B1B"/>
        <name val="Inter"/>
        <charset val="1"/>
      </font>
      <fill>
        <patternFill>
          <bgColor rgb="FFFEF2F2"/>
        </patternFill>
      </fill>
    </dxf>
    <dxf>
      <font>
        <b/>
        <sz val="9"/>
        <color rgb="FF92400E"/>
        <name val="Inter"/>
        <charset val="1"/>
      </font>
      <fill>
        <patternFill>
          <bgColor rgb="FFFFFBEB"/>
        </patternFill>
      </fill>
    </dxf>
    <dxf>
      <font>
        <b/>
        <sz val="9"/>
        <color rgb="FF166534"/>
        <name val="Inter"/>
        <charset val="1"/>
      </font>
      <fill>
        <patternFill>
          <bgColor rgb="FFF0FDF4"/>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91B1B"/>
      <rgbColor rgb="FF166534"/>
      <rgbColor rgb="FF1A1030"/>
      <rgbColor rgb="FF808000"/>
      <rgbColor rgb="FF800080"/>
      <rgbColor rgb="FF008080"/>
      <rgbColor rgb="FFD1D5DB"/>
      <rgbColor rgb="FF9B72CF"/>
      <rgbColor rgb="FF9999FF"/>
      <rgbColor rgb="FF993366"/>
      <rgbColor rgb="FFFFFBEB"/>
      <rgbColor rgb="FFF0FDF4"/>
      <rgbColor rgb="FF660066"/>
      <rgbColor rgb="FFFF8080"/>
      <rgbColor rgb="FF0066CC"/>
      <rgbColor rgb="FFD0C8EE"/>
      <rgbColor rgb="FF000080"/>
      <rgbColor rgb="FFFF00FF"/>
      <rgbColor rgb="FFFFFF00"/>
      <rgbColor rgb="FF00FFFF"/>
      <rgbColor rgb="FF800080"/>
      <rgbColor rgb="FF800000"/>
      <rgbColor rgb="FF008080"/>
      <rgbColor rgb="FF0000FF"/>
      <rgbColor rgb="FF00CCFF"/>
      <rgbColor rgb="FFF5F5F5"/>
      <rgbColor rgb="FFEDE8F7"/>
      <rgbColor rgb="FFFEF2F2"/>
      <rgbColor rgb="FF99CCFF"/>
      <rgbColor rgb="FFFF99CC"/>
      <rgbColor rgb="FFCC99FF"/>
      <rgbColor rgb="FFF7F4FD"/>
      <rgbColor rgb="FF3366FF"/>
      <rgbColor rgb="FF33CCCC"/>
      <rgbColor rgb="FF99CC00"/>
      <rgbColor rgb="FFFFCC00"/>
      <rgbColor rgb="FFFF9900"/>
      <rgbColor rgb="FFFF6600"/>
      <rgbColor rgb="FF5C3D9E"/>
      <rgbColor rgb="FF969696"/>
      <rgbColor rgb="FF003366"/>
      <rgbColor rgb="FF339966"/>
      <rgbColor rgb="FF003300"/>
      <rgbColor rgb="FF333300"/>
      <rgbColor rgb="FF92400E"/>
      <rgbColor rgb="FF993366"/>
      <rgbColor rgb="FF4A3F6B"/>
      <rgbColor rgb="FF2D1B6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7"/>
  <sheetViews>
    <sheetView showGridLines="0" tabSelected="1" zoomScaleNormal="100" workbookViewId="0"/>
  </sheetViews>
  <sheetFormatPr baseColWidth="10" defaultColWidth="8.6640625" defaultRowHeight="15"/>
  <cols>
    <col min="1" max="1" width="2" customWidth="1"/>
    <col min="2" max="2" width="28" customWidth="1"/>
    <col min="3" max="6" width="14" customWidth="1"/>
    <col min="7" max="7" width="2" customWidth="1"/>
  </cols>
  <sheetData>
    <row r="1" spans="2:6" ht="7.5" customHeight="1"/>
    <row r="2" spans="2:6" ht="24" customHeight="1">
      <c r="B2" s="14" t="s">
        <v>0</v>
      </c>
      <c r="C2" s="14"/>
      <c r="D2" s="14"/>
      <c r="E2" s="14"/>
      <c r="F2" s="14"/>
    </row>
    <row r="3" spans="2:6" ht="36" customHeight="1">
      <c r="B3" s="13" t="s">
        <v>1</v>
      </c>
      <c r="C3" s="13"/>
      <c r="D3" s="13"/>
      <c r="E3" s="13"/>
      <c r="F3" s="13"/>
    </row>
    <row r="4" spans="2:6" ht="18" customHeight="1">
      <c r="B4" s="13"/>
      <c r="C4" s="13"/>
      <c r="D4" s="13"/>
      <c r="E4" s="13"/>
      <c r="F4" s="13"/>
    </row>
    <row r="5" spans="2:6" ht="18" customHeight="1">
      <c r="B5" s="13"/>
      <c r="C5" s="13"/>
      <c r="D5" s="13"/>
      <c r="E5" s="13"/>
      <c r="F5" s="13"/>
    </row>
    <row r="6" spans="2:6" ht="18" customHeight="1">
      <c r="B6" s="12" t="s">
        <v>2</v>
      </c>
      <c r="C6" s="12"/>
      <c r="D6" s="12"/>
      <c r="E6" s="12"/>
      <c r="F6" s="12"/>
    </row>
    <row r="7" spans="2:6" ht="18" customHeight="1">
      <c r="B7" s="12"/>
      <c r="C7" s="12"/>
      <c r="D7" s="12"/>
      <c r="E7" s="12"/>
      <c r="F7" s="12"/>
    </row>
    <row r="8" spans="2:6" ht="18" customHeight="1">
      <c r="B8" s="12"/>
      <c r="C8" s="12"/>
      <c r="D8" s="12"/>
      <c r="E8" s="12"/>
      <c r="F8" s="12"/>
    </row>
    <row r="9" spans="2:6" ht="3.75" customHeight="1">
      <c r="B9" s="11"/>
      <c r="C9" s="11"/>
      <c r="D9" s="11"/>
      <c r="E9" s="11"/>
      <c r="F9" s="11"/>
    </row>
    <row r="10" spans="2:6" ht="13.5" customHeight="1"/>
    <row r="11" spans="2:6" ht="19.5" customHeight="1">
      <c r="B11" s="10" t="s">
        <v>3</v>
      </c>
      <c r="C11" s="10"/>
    </row>
    <row r="12" spans="2:6" ht="19.5" customHeight="1">
      <c r="B12" s="9">
        <f>110+SUMIF('📋 Assessment'!H:H,"&lt;&gt;0",'📋 Assessment'!H:H)</f>
        <v>-203</v>
      </c>
      <c r="C12" s="9"/>
    </row>
    <row r="13" spans="2:6" ht="19.5" customHeight="1">
      <c r="B13" s="9"/>
      <c r="C13" s="9"/>
    </row>
    <row r="14" spans="2:6" ht="19.5" customHeight="1">
      <c r="B14" s="9"/>
      <c r="C14" s="9"/>
    </row>
    <row r="15" spans="2:6" ht="19.5" customHeight="1">
      <c r="B15" s="9"/>
      <c r="C15" s="9"/>
    </row>
    <row r="16" spans="2:6" ht="19.5" customHeight="1">
      <c r="B16" s="9"/>
      <c r="C16" s="9"/>
    </row>
    <row r="17" spans="2:6" ht="19.5" customHeight="1">
      <c r="B17" s="9"/>
      <c r="C17" s="9"/>
    </row>
    <row r="18" spans="2:6" ht="19.5" customHeight="1">
      <c r="B18" s="8" t="s">
        <v>4</v>
      </c>
      <c r="C18" s="8"/>
    </row>
    <row r="19" spans="2:6" ht="12" customHeight="1"/>
    <row r="20" spans="2:6" ht="19.5" customHeight="1">
      <c r="B20" s="7" t="s">
        <v>5</v>
      </c>
      <c r="C20" s="6" t="s">
        <v>6</v>
      </c>
      <c r="D20" s="5" t="s">
        <v>7</v>
      </c>
      <c r="E20" s="4" t="s">
        <v>8</v>
      </c>
    </row>
    <row r="21" spans="2:6" ht="19.5" customHeight="1">
      <c r="B21" s="7"/>
      <c r="C21" s="7"/>
      <c r="D21" s="7"/>
      <c r="E21" s="7"/>
    </row>
    <row r="22" spans="2:6" ht="19.5" customHeight="1">
      <c r="B22" s="3">
        <f>COUNTIF('📋 Assessment'!G:G,"Met")</f>
        <v>0</v>
      </c>
      <c r="C22" s="2">
        <f>COUNTIF('📋 Assessment'!G:G,"Partially Met")</f>
        <v>0</v>
      </c>
      <c r="D22" s="1">
        <f>COUNTIF('📋 Assessment'!G:G,"Unmet")</f>
        <v>0</v>
      </c>
      <c r="E22" s="48">
        <f>COUNTIF('📋 Assessment'!G:G,"Not Assessed")</f>
        <v>110</v>
      </c>
    </row>
    <row r="23" spans="2:6" ht="19.5" customHeight="1">
      <c r="B23" s="3"/>
      <c r="C23" s="3"/>
      <c r="D23" s="3"/>
      <c r="E23" s="3"/>
    </row>
    <row r="24" spans="2:6" ht="19.5" customHeight="1">
      <c r="B24" s="3"/>
      <c r="C24" s="3"/>
      <c r="D24" s="3"/>
      <c r="E24" s="3"/>
    </row>
    <row r="25" spans="2:6" ht="19.5" customHeight="1">
      <c r="B25" s="3"/>
      <c r="C25" s="3"/>
      <c r="D25" s="3"/>
      <c r="E25" s="3"/>
    </row>
    <row r="26" spans="2:6" ht="19.5" customHeight="1">
      <c r="B26" s="3"/>
      <c r="C26" s="3"/>
      <c r="D26" s="3"/>
      <c r="E26" s="3"/>
    </row>
    <row r="27" spans="2:6" ht="19.5" customHeight="1">
      <c r="B27" s="3"/>
      <c r="C27" s="3"/>
      <c r="D27" s="3"/>
      <c r="E27" s="3"/>
    </row>
    <row r="28" spans="2:6" ht="19.5" customHeight="1">
      <c r="B28" s="3"/>
      <c r="C28" s="3"/>
      <c r="D28" s="3"/>
      <c r="E28" s="3"/>
    </row>
    <row r="29" spans="2:6" ht="12" customHeight="1"/>
    <row r="30" spans="2:6" ht="21.75" customHeight="1">
      <c r="B30" s="15" t="s">
        <v>9</v>
      </c>
      <c r="C30" s="16" t="s">
        <v>10</v>
      </c>
      <c r="D30" s="16" t="s">
        <v>5</v>
      </c>
      <c r="E30" s="16" t="s">
        <v>11</v>
      </c>
      <c r="F30" s="16" t="s">
        <v>12</v>
      </c>
    </row>
    <row r="31" spans="2:6" ht="18" customHeight="1">
      <c r="B31" s="17" t="s">
        <v>13</v>
      </c>
      <c r="C31" s="18">
        <v>22</v>
      </c>
      <c r="D31" s="19">
        <f>COUNTIFS('📋 Assessment'!A:A,"Access Control",'📋 Assessment'!G:G,"Met")</f>
        <v>0</v>
      </c>
      <c r="E31" s="20">
        <f>COUNTIFS('📋 Assessment'!A:A,"Access Control",'📋 Assessment'!G:G,"Unmet")+COUNTIFS('📋 Assessment'!A:A,"Access Control",'📋 Assessment'!G:G,"Partially Met")</f>
        <v>0</v>
      </c>
      <c r="F31" s="21">
        <f>SUMIFS('📋 Assessment'!H:H,'📋 Assessment'!A:A,"Access Control")</f>
        <v>-54</v>
      </c>
    </row>
    <row r="32" spans="2:6" ht="18" customHeight="1">
      <c r="B32" s="22" t="s">
        <v>14</v>
      </c>
      <c r="C32" s="23">
        <v>3</v>
      </c>
      <c r="D32" s="24">
        <f>COUNTIFS('📋 Assessment'!A:A,"Awareness and Training",'📋 Assessment'!G:G,"Met")</f>
        <v>0</v>
      </c>
      <c r="E32" s="25">
        <f>COUNTIFS('📋 Assessment'!A:A,"Awareness and Training",'📋 Assessment'!G:G,"Unmet")+COUNTIFS('📋 Assessment'!A:A,"Awareness and Training",'📋 Assessment'!G:G,"Partially Met")</f>
        <v>0</v>
      </c>
      <c r="F32" s="26">
        <f>SUMIFS('📋 Assessment'!H:H,'📋 Assessment'!A:A,"Awareness and Training")</f>
        <v>-11</v>
      </c>
    </row>
    <row r="33" spans="2:6" ht="18" customHeight="1">
      <c r="B33" s="17" t="s">
        <v>15</v>
      </c>
      <c r="C33" s="18">
        <v>9</v>
      </c>
      <c r="D33" s="19">
        <f>COUNTIFS('📋 Assessment'!A:A,"Audit and Accountability",'📋 Assessment'!G:G,"Met")</f>
        <v>0</v>
      </c>
      <c r="E33" s="20">
        <f>COUNTIFS('📋 Assessment'!A:A,"Audit and Accountability",'📋 Assessment'!G:G,"Unmet")+COUNTIFS('📋 Assessment'!A:A,"Audit and Accountability",'📋 Assessment'!G:G,"Partially Met")</f>
        <v>0</v>
      </c>
      <c r="F33" s="21">
        <f>SUMIFS('📋 Assessment'!H:H,'📋 Assessment'!A:A,"Audit and Accountability")</f>
        <v>-19</v>
      </c>
    </row>
    <row r="34" spans="2:6" ht="18" customHeight="1">
      <c r="B34" s="22" t="s">
        <v>16</v>
      </c>
      <c r="C34" s="23">
        <v>9</v>
      </c>
      <c r="D34" s="24">
        <f>COUNTIFS('📋 Assessment'!A:A,"Configuration Management",'📋 Assessment'!G:G,"Met")</f>
        <v>0</v>
      </c>
      <c r="E34" s="25">
        <f>COUNTIFS('📋 Assessment'!A:A,"Configuration Management",'📋 Assessment'!G:G,"Unmet")+COUNTIFS('📋 Assessment'!A:A,"Configuration Management",'📋 Assessment'!G:G,"Partially Met")</f>
        <v>0</v>
      </c>
      <c r="F34" s="26">
        <f>SUMIFS('📋 Assessment'!H:H,'📋 Assessment'!A:A,"Configuration Management")</f>
        <v>-33</v>
      </c>
    </row>
    <row r="35" spans="2:6" ht="18" customHeight="1">
      <c r="B35" s="17" t="s">
        <v>17</v>
      </c>
      <c r="C35" s="18">
        <v>11</v>
      </c>
      <c r="D35" s="19">
        <f>COUNTIFS('📋 Assessment'!A:A,"Identification and Authentication",'📋 Assessment'!G:G,"Met")</f>
        <v>0</v>
      </c>
      <c r="E35" s="20">
        <f>COUNTIFS('📋 Assessment'!A:A,"Identification and Authentication",'📋 Assessment'!G:G,"Unmet")+COUNTIFS('📋 Assessment'!A:A,"Identification and Authentication",'📋 Assessment'!G:G,"Partially Met")</f>
        <v>0</v>
      </c>
      <c r="F35" s="21">
        <f>SUMIFS('📋 Assessment'!H:H,'📋 Assessment'!A:A,"Identification and Authentication")</f>
        <v>-27</v>
      </c>
    </row>
    <row r="36" spans="2:6" ht="18" customHeight="1">
      <c r="B36" s="22" t="s">
        <v>18</v>
      </c>
      <c r="C36" s="23">
        <v>3</v>
      </c>
      <c r="D36" s="24">
        <f>COUNTIFS('📋 Assessment'!A:A,"Incident response",'📋 Assessment'!G:G,"Met")</f>
        <v>0</v>
      </c>
      <c r="E36" s="25">
        <f>COUNTIFS('📋 Assessment'!A:A,"Incident response",'📋 Assessment'!G:G,"Unmet")+COUNTIFS('📋 Assessment'!A:A,"Incident response",'📋 Assessment'!G:G,"Partially Met")</f>
        <v>0</v>
      </c>
      <c r="F36" s="26">
        <f>SUMIFS('📋 Assessment'!H:H,'📋 Assessment'!A:A,"Incident response")</f>
        <v>-11</v>
      </c>
    </row>
    <row r="37" spans="2:6" ht="18" customHeight="1">
      <c r="B37" s="17" t="s">
        <v>19</v>
      </c>
      <c r="C37" s="18">
        <v>6</v>
      </c>
      <c r="D37" s="19">
        <f>COUNTIFS('📋 Assessment'!A:A,"Maintenance",'📋 Assessment'!G:G,"Met")</f>
        <v>0</v>
      </c>
      <c r="E37" s="20">
        <f>COUNTIFS('📋 Assessment'!A:A,"Maintenance",'📋 Assessment'!G:G,"Unmet")+COUNTIFS('📋 Assessment'!A:A,"Maintenance",'📋 Assessment'!G:G,"Partially Met")</f>
        <v>0</v>
      </c>
      <c r="F37" s="21">
        <f>SUMIFS('📋 Assessment'!H:H,'📋 Assessment'!A:A,"Maintenance")</f>
        <v>-18</v>
      </c>
    </row>
    <row r="38" spans="2:6" ht="18" customHeight="1">
      <c r="B38" s="22" t="s">
        <v>20</v>
      </c>
      <c r="C38" s="23">
        <v>9</v>
      </c>
      <c r="D38" s="24">
        <f>COUNTIFS('📋 Assessment'!A:A,"Media Protection",'📋 Assessment'!G:G,"Met")</f>
        <v>0</v>
      </c>
      <c r="E38" s="25">
        <f>COUNTIFS('📋 Assessment'!A:A,"Media Protection",'📋 Assessment'!G:G,"Unmet")+COUNTIFS('📋 Assessment'!A:A,"Media Protection",'📋 Assessment'!G:G,"Partially Met")</f>
        <v>0</v>
      </c>
      <c r="F38" s="26">
        <f>SUMIFS('📋 Assessment'!H:H,'📋 Assessment'!A:A,"Media Protection")</f>
        <v>-23</v>
      </c>
    </row>
    <row r="39" spans="2:6" ht="18" customHeight="1">
      <c r="B39" s="17" t="s">
        <v>21</v>
      </c>
      <c r="C39" s="18">
        <v>2</v>
      </c>
      <c r="D39" s="19">
        <f>COUNTIFS('📋 Assessment'!A:A,"Personnel Security",'📋 Assessment'!G:G,"Met")</f>
        <v>0</v>
      </c>
      <c r="E39" s="20">
        <f>COUNTIFS('📋 Assessment'!A:A,"Personnel Security",'📋 Assessment'!G:G,"Unmet")+COUNTIFS('📋 Assessment'!A:A,"Personnel Security",'📋 Assessment'!G:G,"Partially Met")</f>
        <v>0</v>
      </c>
      <c r="F39" s="21">
        <f>SUMIFS('📋 Assessment'!H:H,'📋 Assessment'!A:A,"Personnel Security")</f>
        <v>-8</v>
      </c>
    </row>
    <row r="40" spans="2:6" ht="18" customHeight="1">
      <c r="B40" s="22" t="s">
        <v>22</v>
      </c>
      <c r="C40" s="23">
        <v>6</v>
      </c>
      <c r="D40" s="24">
        <f>COUNTIFS('📋 Assessment'!A:A,"Physical Protection",'📋 Assessment'!G:G,"Met")</f>
        <v>0</v>
      </c>
      <c r="E40" s="25">
        <f>COUNTIFS('📋 Assessment'!A:A,"Physical Protection",'📋 Assessment'!G:G,"Unmet")+COUNTIFS('📋 Assessment'!A:A,"Physical Protection",'📋 Assessment'!G:G,"Partially Met")</f>
        <v>0</v>
      </c>
      <c r="F40" s="26">
        <f>SUMIFS('📋 Assessment'!H:H,'📋 Assessment'!A:A,"Physical Protection")</f>
        <v>-14</v>
      </c>
    </row>
    <row r="41" spans="2:6" ht="18" customHeight="1">
      <c r="B41" s="17" t="s">
        <v>23</v>
      </c>
      <c r="C41" s="18">
        <v>3</v>
      </c>
      <c r="D41" s="19">
        <f>COUNTIFS('📋 Assessment'!A:A,"Risk Assessment",'📋 Assessment'!G:G,"Met")</f>
        <v>0</v>
      </c>
      <c r="E41" s="20">
        <f>COUNTIFS('📋 Assessment'!A:A,"Risk Assessment",'📋 Assessment'!G:G,"Unmet")+COUNTIFS('📋 Assessment'!A:A,"Risk Assessment",'📋 Assessment'!G:G,"Partially Met")</f>
        <v>0</v>
      </c>
      <c r="F41" s="21">
        <f>SUMIFS('📋 Assessment'!H:H,'📋 Assessment'!A:A,"Risk Assessment")</f>
        <v>-9</v>
      </c>
    </row>
    <row r="42" spans="2:6" ht="18" customHeight="1">
      <c r="B42" s="22" t="s">
        <v>24</v>
      </c>
      <c r="C42" s="23">
        <v>4</v>
      </c>
      <c r="D42" s="24">
        <f>COUNTIFS('📋 Assessment'!A:A,"Security Assessment",'📋 Assessment'!G:G,"Met")</f>
        <v>0</v>
      </c>
      <c r="E42" s="25">
        <f>COUNTIFS('📋 Assessment'!A:A,"Security Assessment",'📋 Assessment'!G:G,"Unmet")+COUNTIFS('📋 Assessment'!A:A,"Security Assessment",'📋 Assessment'!G:G,"Partially Met")</f>
        <v>0</v>
      </c>
      <c r="F42" s="26">
        <f>SUMIFS('📋 Assessment'!H:H,'📋 Assessment'!A:A,"Security Assessment")</f>
        <v>-13</v>
      </c>
    </row>
    <row r="43" spans="2:6" ht="18" customHeight="1">
      <c r="B43" s="17" t="s">
        <v>25</v>
      </c>
      <c r="C43" s="18">
        <v>16</v>
      </c>
      <c r="D43" s="19">
        <f>COUNTIFS('📋 Assessment'!A:A,"System and Communications Protection",'📋 Assessment'!G:G,"Met")</f>
        <v>0</v>
      </c>
      <c r="E43" s="20">
        <f>COUNTIFS('📋 Assessment'!A:A,"System and Communications Protection",'📋 Assessment'!G:G,"Unmet")+COUNTIFS('📋 Assessment'!A:A,"System and Communications Protection",'📋 Assessment'!G:G,"Partially Met")</f>
        <v>0</v>
      </c>
      <c r="F43" s="21">
        <f>SUMIFS('📋 Assessment'!H:H,'📋 Assessment'!A:A,"System and Communications Protection")</f>
        <v>-42</v>
      </c>
    </row>
    <row r="44" spans="2:6" ht="18" customHeight="1">
      <c r="B44" s="22" t="s">
        <v>26</v>
      </c>
      <c r="C44" s="23">
        <v>7</v>
      </c>
      <c r="D44" s="24">
        <f>COUNTIFS('📋 Assessment'!A:A,"System and Information Integrity",'📋 Assessment'!G:G,"Met")</f>
        <v>0</v>
      </c>
      <c r="E44" s="25">
        <f>COUNTIFS('📋 Assessment'!A:A,"System and Information Integrity",'📋 Assessment'!G:G,"Unmet")+COUNTIFS('📋 Assessment'!A:A,"System and Information Integrity",'📋 Assessment'!G:G,"Partially Met")</f>
        <v>0</v>
      </c>
      <c r="F44" s="26">
        <f>SUMIFS('📋 Assessment'!H:H,'📋 Assessment'!A:A,"System and Information Integrity")</f>
        <v>-31</v>
      </c>
    </row>
    <row r="45" spans="2:6" ht="19.5" customHeight="1">
      <c r="B45" s="27" t="s">
        <v>27</v>
      </c>
      <c r="C45" s="28">
        <v>110</v>
      </c>
      <c r="D45" s="29">
        <f>COUNTIF('📋 Assessment'!G:G,"Met")</f>
        <v>0</v>
      </c>
      <c r="E45" s="30">
        <f>COUNTIF('📋 Assessment'!G:G,"Unmet")+COUNTIF('📋 Assessment'!G:G,"Partially Met")</f>
        <v>0</v>
      </c>
      <c r="F45" s="28">
        <f>110+SUMIF('📋 Assessment'!H:H,"&lt;&gt;0",'📋 Assessment'!H:H)</f>
        <v>-203</v>
      </c>
    </row>
    <row r="47" spans="2:6" ht="15.75" customHeight="1">
      <c r="B47" s="49" t="s">
        <v>28</v>
      </c>
      <c r="C47" s="49"/>
      <c r="D47" s="49"/>
      <c r="E47" s="49"/>
      <c r="F47" s="49"/>
    </row>
  </sheetData>
  <mergeCells count="16">
    <mergeCell ref="B47:F47"/>
    <mergeCell ref="E20:E21"/>
    <mergeCell ref="B22:B28"/>
    <mergeCell ref="C22:C28"/>
    <mergeCell ref="D22:D28"/>
    <mergeCell ref="E22:E28"/>
    <mergeCell ref="B12:C17"/>
    <mergeCell ref="B18:C18"/>
    <mergeCell ref="B20:B21"/>
    <mergeCell ref="C20:C21"/>
    <mergeCell ref="D20:D21"/>
    <mergeCell ref="B2:F2"/>
    <mergeCell ref="B3:F5"/>
    <mergeCell ref="B6:F8"/>
    <mergeCell ref="B9:F9"/>
    <mergeCell ref="B11:C11"/>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4"/>
  <sheetViews>
    <sheetView showGridLines="0" zoomScaleNormal="100" workbookViewId="0">
      <pane ySplit="4" topLeftCell="A5" activePane="bottomLeft" state="frozen"/>
      <selection pane="bottomLeft" activeCell="I7" sqref="I7"/>
    </sheetView>
  </sheetViews>
  <sheetFormatPr baseColWidth="10" defaultColWidth="8.6640625" defaultRowHeight="15"/>
  <cols>
    <col min="1" max="1" width="22" customWidth="1"/>
    <col min="2" max="2" width="9" customWidth="1"/>
    <col min="3" max="3" width="10" customWidth="1"/>
    <col min="4" max="4" width="62" customWidth="1"/>
    <col min="5" max="5" width="9" customWidth="1"/>
    <col min="6" max="7" width="16" customWidth="1"/>
    <col min="8" max="8" width="12" customWidth="1"/>
    <col min="9" max="9" width="44" customWidth="1"/>
  </cols>
  <sheetData>
    <row r="1" spans="1:9" ht="21.75" customHeight="1">
      <c r="A1" s="14" t="s">
        <v>29</v>
      </c>
      <c r="B1" s="14"/>
      <c r="C1" s="14"/>
      <c r="D1" s="14"/>
      <c r="E1" s="14"/>
      <c r="F1" s="14"/>
      <c r="G1" s="14"/>
      <c r="H1" s="14"/>
      <c r="I1" s="14"/>
    </row>
    <row r="2" spans="1:9" ht="27.75" customHeight="1">
      <c r="A2" s="50" t="s">
        <v>30</v>
      </c>
      <c r="B2" s="50"/>
      <c r="C2" s="50"/>
      <c r="D2" s="50"/>
      <c r="E2" s="50"/>
      <c r="F2" s="50"/>
      <c r="G2" s="50"/>
      <c r="H2" s="50"/>
      <c r="I2" s="50"/>
    </row>
    <row r="3" spans="1:9" ht="6" customHeight="1"/>
    <row r="4" spans="1:9" ht="21.75" customHeight="1">
      <c r="A4" s="15" t="s">
        <v>9</v>
      </c>
      <c r="B4" s="16" t="s">
        <v>31</v>
      </c>
      <c r="C4" s="16" t="s">
        <v>32</v>
      </c>
      <c r="D4" s="15" t="s">
        <v>33</v>
      </c>
      <c r="E4" s="16" t="s">
        <v>34</v>
      </c>
      <c r="F4" s="16" t="s">
        <v>35</v>
      </c>
      <c r="G4" s="16" t="s">
        <v>36</v>
      </c>
      <c r="H4" s="16" t="s">
        <v>37</v>
      </c>
      <c r="I4" s="15" t="s">
        <v>38</v>
      </c>
    </row>
    <row r="5" spans="1:9" ht="43.5" customHeight="1">
      <c r="A5" s="31" t="s">
        <v>13</v>
      </c>
      <c r="B5" s="32" t="s">
        <v>39</v>
      </c>
      <c r="C5" s="33" t="s">
        <v>40</v>
      </c>
      <c r="D5" s="34" t="s">
        <v>41</v>
      </c>
      <c r="E5" s="35">
        <v>5</v>
      </c>
      <c r="F5" s="36" t="s">
        <v>42</v>
      </c>
      <c r="G5" s="36" t="str">
        <f t="shared" ref="G5:G36" si="0">F5</f>
        <v>Not Assessed</v>
      </c>
      <c r="H5" s="37">
        <f t="shared" ref="H5:H36" si="1">IF(F5="Met",0,IF(F5="Partially Met",-CEILING(E5/2,1),IF(F5="Unmet",-E5,-E5)))</f>
        <v>-5</v>
      </c>
      <c r="I5" s="38"/>
    </row>
    <row r="6" spans="1:9" ht="43.5" customHeight="1">
      <c r="A6" s="39" t="s">
        <v>13</v>
      </c>
      <c r="B6" s="32" t="s">
        <v>39</v>
      </c>
      <c r="C6" s="40" t="s">
        <v>43</v>
      </c>
      <c r="D6" s="41" t="s">
        <v>44</v>
      </c>
      <c r="E6" s="42">
        <v>5</v>
      </c>
      <c r="F6" s="36" t="s">
        <v>42</v>
      </c>
      <c r="G6" s="36" t="str">
        <f t="shared" si="0"/>
        <v>Not Assessed</v>
      </c>
      <c r="H6" s="43">
        <f t="shared" si="1"/>
        <v>-5</v>
      </c>
      <c r="I6" s="44"/>
    </row>
    <row r="7" spans="1:9" ht="43.5" customHeight="1">
      <c r="A7" s="45" t="s">
        <v>13</v>
      </c>
      <c r="B7" s="46" t="s">
        <v>45</v>
      </c>
      <c r="C7" s="33" t="s">
        <v>46</v>
      </c>
      <c r="D7" s="34" t="s">
        <v>47</v>
      </c>
      <c r="E7" s="35">
        <v>1</v>
      </c>
      <c r="F7" s="36" t="s">
        <v>42</v>
      </c>
      <c r="G7" s="36" t="str">
        <f t="shared" si="0"/>
        <v>Not Assessed</v>
      </c>
      <c r="H7" s="37">
        <f t="shared" si="1"/>
        <v>-1</v>
      </c>
      <c r="I7" s="38"/>
    </row>
    <row r="8" spans="1:9" ht="43.5" customHeight="1">
      <c r="A8" s="39" t="s">
        <v>13</v>
      </c>
      <c r="B8" s="47" t="s">
        <v>45</v>
      </c>
      <c r="C8" s="40" t="s">
        <v>48</v>
      </c>
      <c r="D8" s="41" t="s">
        <v>49</v>
      </c>
      <c r="E8" s="42">
        <v>1</v>
      </c>
      <c r="F8" s="36" t="s">
        <v>42</v>
      </c>
      <c r="G8" s="36" t="str">
        <f t="shared" si="0"/>
        <v>Not Assessed</v>
      </c>
      <c r="H8" s="43">
        <f t="shared" si="1"/>
        <v>-1</v>
      </c>
      <c r="I8" s="44"/>
    </row>
    <row r="9" spans="1:9" ht="43.5" customHeight="1">
      <c r="A9" s="45" t="s">
        <v>13</v>
      </c>
      <c r="B9" s="46" t="s">
        <v>45</v>
      </c>
      <c r="C9" s="33" t="s">
        <v>50</v>
      </c>
      <c r="D9" s="34" t="s">
        <v>51</v>
      </c>
      <c r="E9" s="35">
        <v>3</v>
      </c>
      <c r="F9" s="36" t="s">
        <v>42</v>
      </c>
      <c r="G9" s="36" t="str">
        <f t="shared" si="0"/>
        <v>Not Assessed</v>
      </c>
      <c r="H9" s="37">
        <f t="shared" si="1"/>
        <v>-3</v>
      </c>
      <c r="I9" s="38"/>
    </row>
    <row r="10" spans="1:9" ht="43.5" customHeight="1">
      <c r="A10" s="39" t="s">
        <v>13</v>
      </c>
      <c r="B10" s="47" t="s">
        <v>45</v>
      </c>
      <c r="C10" s="40" t="s">
        <v>52</v>
      </c>
      <c r="D10" s="41" t="s">
        <v>53</v>
      </c>
      <c r="E10" s="42">
        <v>1</v>
      </c>
      <c r="F10" s="36" t="s">
        <v>42</v>
      </c>
      <c r="G10" s="36" t="str">
        <f t="shared" si="0"/>
        <v>Not Assessed</v>
      </c>
      <c r="H10" s="43">
        <f t="shared" si="1"/>
        <v>-1</v>
      </c>
      <c r="I10" s="44"/>
    </row>
    <row r="11" spans="1:9" ht="43.5" customHeight="1">
      <c r="A11" s="45" t="s">
        <v>13</v>
      </c>
      <c r="B11" s="46" t="s">
        <v>45</v>
      </c>
      <c r="C11" s="33" t="s">
        <v>54</v>
      </c>
      <c r="D11" s="34" t="s">
        <v>55</v>
      </c>
      <c r="E11" s="35">
        <v>1</v>
      </c>
      <c r="F11" s="36" t="s">
        <v>42</v>
      </c>
      <c r="G11" s="36" t="str">
        <f t="shared" si="0"/>
        <v>Not Assessed</v>
      </c>
      <c r="H11" s="37">
        <f t="shared" si="1"/>
        <v>-1</v>
      </c>
      <c r="I11" s="38"/>
    </row>
    <row r="12" spans="1:9" ht="43.5" customHeight="1">
      <c r="A12" s="39" t="s">
        <v>13</v>
      </c>
      <c r="B12" s="47" t="s">
        <v>45</v>
      </c>
      <c r="C12" s="40" t="s">
        <v>56</v>
      </c>
      <c r="D12" s="41" t="s">
        <v>57</v>
      </c>
      <c r="E12" s="42">
        <v>1</v>
      </c>
      <c r="F12" s="36" t="s">
        <v>42</v>
      </c>
      <c r="G12" s="36" t="str">
        <f t="shared" si="0"/>
        <v>Not Assessed</v>
      </c>
      <c r="H12" s="43">
        <f t="shared" si="1"/>
        <v>-1</v>
      </c>
      <c r="I12" s="44"/>
    </row>
    <row r="13" spans="1:9" ht="43.5" customHeight="1">
      <c r="A13" s="45" t="s">
        <v>13</v>
      </c>
      <c r="B13" s="46" t="s">
        <v>45</v>
      </c>
      <c r="C13" s="33" t="s">
        <v>58</v>
      </c>
      <c r="D13" s="34" t="s">
        <v>59</v>
      </c>
      <c r="E13" s="35">
        <v>1</v>
      </c>
      <c r="F13" s="36" t="s">
        <v>42</v>
      </c>
      <c r="G13" s="36" t="str">
        <f t="shared" si="0"/>
        <v>Not Assessed</v>
      </c>
      <c r="H13" s="37">
        <f t="shared" si="1"/>
        <v>-1</v>
      </c>
      <c r="I13" s="38"/>
    </row>
    <row r="14" spans="1:9" ht="43.5" customHeight="1">
      <c r="A14" s="39" t="s">
        <v>13</v>
      </c>
      <c r="B14" s="47" t="s">
        <v>45</v>
      </c>
      <c r="C14" s="40" t="s">
        <v>60</v>
      </c>
      <c r="D14" s="41" t="s">
        <v>61</v>
      </c>
      <c r="E14" s="42">
        <v>1</v>
      </c>
      <c r="F14" s="36" t="s">
        <v>42</v>
      </c>
      <c r="G14" s="36" t="str">
        <f t="shared" si="0"/>
        <v>Not Assessed</v>
      </c>
      <c r="H14" s="43">
        <f t="shared" si="1"/>
        <v>-1</v>
      </c>
      <c r="I14" s="44"/>
    </row>
    <row r="15" spans="1:9" ht="43.5" customHeight="1">
      <c r="A15" s="45" t="s">
        <v>13</v>
      </c>
      <c r="B15" s="46" t="s">
        <v>45</v>
      </c>
      <c r="C15" s="33" t="s">
        <v>62</v>
      </c>
      <c r="D15" s="34" t="s">
        <v>63</v>
      </c>
      <c r="E15" s="35">
        <v>1</v>
      </c>
      <c r="F15" s="36" t="s">
        <v>42</v>
      </c>
      <c r="G15" s="36" t="str">
        <f t="shared" si="0"/>
        <v>Not Assessed</v>
      </c>
      <c r="H15" s="37">
        <f t="shared" si="1"/>
        <v>-1</v>
      </c>
      <c r="I15" s="38"/>
    </row>
    <row r="16" spans="1:9" ht="43.5" customHeight="1">
      <c r="A16" s="39" t="s">
        <v>13</v>
      </c>
      <c r="B16" s="47" t="s">
        <v>45</v>
      </c>
      <c r="C16" s="40" t="s">
        <v>64</v>
      </c>
      <c r="D16" s="41" t="s">
        <v>65</v>
      </c>
      <c r="E16" s="42">
        <v>5</v>
      </c>
      <c r="F16" s="36" t="s">
        <v>42</v>
      </c>
      <c r="G16" s="36" t="str">
        <f t="shared" si="0"/>
        <v>Not Assessed</v>
      </c>
      <c r="H16" s="43">
        <f t="shared" si="1"/>
        <v>-5</v>
      </c>
      <c r="I16" s="44"/>
    </row>
    <row r="17" spans="1:9" ht="43.5" customHeight="1">
      <c r="A17" s="45" t="s">
        <v>13</v>
      </c>
      <c r="B17" s="46" t="s">
        <v>45</v>
      </c>
      <c r="C17" s="33" t="s">
        <v>66</v>
      </c>
      <c r="D17" s="34" t="s">
        <v>67</v>
      </c>
      <c r="E17" s="35">
        <v>5</v>
      </c>
      <c r="F17" s="36" t="s">
        <v>42</v>
      </c>
      <c r="G17" s="36" t="str">
        <f t="shared" si="0"/>
        <v>Not Assessed</v>
      </c>
      <c r="H17" s="37">
        <f t="shared" si="1"/>
        <v>-5</v>
      </c>
      <c r="I17" s="38"/>
    </row>
    <row r="18" spans="1:9" ht="43.5" customHeight="1">
      <c r="A18" s="39" t="s">
        <v>13</v>
      </c>
      <c r="B18" s="47" t="s">
        <v>45</v>
      </c>
      <c r="C18" s="40" t="s">
        <v>68</v>
      </c>
      <c r="D18" s="41" t="s">
        <v>69</v>
      </c>
      <c r="E18" s="42">
        <v>1</v>
      </c>
      <c r="F18" s="36" t="s">
        <v>42</v>
      </c>
      <c r="G18" s="36" t="str">
        <f t="shared" si="0"/>
        <v>Not Assessed</v>
      </c>
      <c r="H18" s="43">
        <f t="shared" si="1"/>
        <v>-1</v>
      </c>
      <c r="I18" s="44"/>
    </row>
    <row r="19" spans="1:9" ht="43.5" customHeight="1">
      <c r="A19" s="45" t="s">
        <v>13</v>
      </c>
      <c r="B19" s="46" t="s">
        <v>45</v>
      </c>
      <c r="C19" s="33" t="s">
        <v>70</v>
      </c>
      <c r="D19" s="34" t="s">
        <v>71</v>
      </c>
      <c r="E19" s="35">
        <v>1</v>
      </c>
      <c r="F19" s="36" t="s">
        <v>42</v>
      </c>
      <c r="G19" s="36" t="str">
        <f t="shared" si="0"/>
        <v>Not Assessed</v>
      </c>
      <c r="H19" s="37">
        <f t="shared" si="1"/>
        <v>-1</v>
      </c>
      <c r="I19" s="38"/>
    </row>
    <row r="20" spans="1:9" ht="43.5" customHeight="1">
      <c r="A20" s="39" t="s">
        <v>13</v>
      </c>
      <c r="B20" s="47" t="s">
        <v>45</v>
      </c>
      <c r="C20" s="40" t="s">
        <v>72</v>
      </c>
      <c r="D20" s="41" t="s">
        <v>73</v>
      </c>
      <c r="E20" s="42">
        <v>5</v>
      </c>
      <c r="F20" s="36" t="s">
        <v>42</v>
      </c>
      <c r="G20" s="36" t="str">
        <f t="shared" si="0"/>
        <v>Not Assessed</v>
      </c>
      <c r="H20" s="43">
        <f t="shared" si="1"/>
        <v>-5</v>
      </c>
      <c r="I20" s="44"/>
    </row>
    <row r="21" spans="1:9" ht="43.5" customHeight="1">
      <c r="A21" s="45" t="s">
        <v>13</v>
      </c>
      <c r="B21" s="46" t="s">
        <v>45</v>
      </c>
      <c r="C21" s="33" t="s">
        <v>74</v>
      </c>
      <c r="D21" s="34" t="s">
        <v>75</v>
      </c>
      <c r="E21" s="35">
        <v>5</v>
      </c>
      <c r="F21" s="36" t="s">
        <v>42</v>
      </c>
      <c r="G21" s="36" t="str">
        <f t="shared" si="0"/>
        <v>Not Assessed</v>
      </c>
      <c r="H21" s="37">
        <f t="shared" si="1"/>
        <v>-5</v>
      </c>
      <c r="I21" s="38"/>
    </row>
    <row r="22" spans="1:9" ht="43.5" customHeight="1">
      <c r="A22" s="39" t="s">
        <v>13</v>
      </c>
      <c r="B22" s="47" t="s">
        <v>45</v>
      </c>
      <c r="C22" s="40" t="s">
        <v>76</v>
      </c>
      <c r="D22" s="41" t="s">
        <v>77</v>
      </c>
      <c r="E22" s="42">
        <v>5</v>
      </c>
      <c r="F22" s="36" t="s">
        <v>42</v>
      </c>
      <c r="G22" s="36" t="str">
        <f t="shared" si="0"/>
        <v>Not Assessed</v>
      </c>
      <c r="H22" s="43">
        <f t="shared" si="1"/>
        <v>-5</v>
      </c>
      <c r="I22" s="44"/>
    </row>
    <row r="23" spans="1:9" ht="43.5" customHeight="1">
      <c r="A23" s="45" t="s">
        <v>13</v>
      </c>
      <c r="B23" s="46" t="s">
        <v>45</v>
      </c>
      <c r="C23" s="33" t="s">
        <v>78</v>
      </c>
      <c r="D23" s="34" t="s">
        <v>79</v>
      </c>
      <c r="E23" s="35">
        <v>3</v>
      </c>
      <c r="F23" s="36" t="s">
        <v>42</v>
      </c>
      <c r="G23" s="36" t="str">
        <f t="shared" si="0"/>
        <v>Not Assessed</v>
      </c>
      <c r="H23" s="37">
        <f t="shared" si="1"/>
        <v>-3</v>
      </c>
      <c r="I23" s="38"/>
    </row>
    <row r="24" spans="1:9" ht="43.5" customHeight="1">
      <c r="A24" s="39" t="s">
        <v>13</v>
      </c>
      <c r="B24" s="47" t="s">
        <v>45</v>
      </c>
      <c r="C24" s="40" t="s">
        <v>80</v>
      </c>
      <c r="D24" s="41" t="s">
        <v>81</v>
      </c>
      <c r="E24" s="42">
        <v>1</v>
      </c>
      <c r="F24" s="36" t="s">
        <v>42</v>
      </c>
      <c r="G24" s="36" t="str">
        <f t="shared" si="0"/>
        <v>Not Assessed</v>
      </c>
      <c r="H24" s="43">
        <f t="shared" si="1"/>
        <v>-1</v>
      </c>
      <c r="I24" s="44"/>
    </row>
    <row r="25" spans="1:9" ht="43.5" customHeight="1">
      <c r="A25" s="45" t="s">
        <v>13</v>
      </c>
      <c r="B25" s="46" t="s">
        <v>45</v>
      </c>
      <c r="C25" s="33" t="s">
        <v>82</v>
      </c>
      <c r="D25" s="34" t="s">
        <v>83</v>
      </c>
      <c r="E25" s="35">
        <v>1</v>
      </c>
      <c r="F25" s="36" t="s">
        <v>42</v>
      </c>
      <c r="G25" s="36" t="str">
        <f t="shared" si="0"/>
        <v>Not Assessed</v>
      </c>
      <c r="H25" s="37">
        <f t="shared" si="1"/>
        <v>-1</v>
      </c>
      <c r="I25" s="38"/>
    </row>
    <row r="26" spans="1:9" ht="43.5" customHeight="1">
      <c r="A26" s="39" t="s">
        <v>13</v>
      </c>
      <c r="B26" s="47" t="s">
        <v>45</v>
      </c>
      <c r="C26" s="40" t="s">
        <v>84</v>
      </c>
      <c r="D26" s="41" t="s">
        <v>85</v>
      </c>
      <c r="E26" s="42">
        <v>1</v>
      </c>
      <c r="F26" s="36" t="s">
        <v>42</v>
      </c>
      <c r="G26" s="36" t="str">
        <f t="shared" si="0"/>
        <v>Not Assessed</v>
      </c>
      <c r="H26" s="43">
        <f t="shared" si="1"/>
        <v>-1</v>
      </c>
      <c r="I26" s="44"/>
    </row>
    <row r="27" spans="1:9" ht="43.5" customHeight="1">
      <c r="A27" s="31" t="s">
        <v>14</v>
      </c>
      <c r="B27" s="32" t="s">
        <v>39</v>
      </c>
      <c r="C27" s="33" t="s">
        <v>86</v>
      </c>
      <c r="D27" s="34" t="s">
        <v>87</v>
      </c>
      <c r="E27" s="35">
        <v>5</v>
      </c>
      <c r="F27" s="36" t="s">
        <v>42</v>
      </c>
      <c r="G27" s="36" t="str">
        <f t="shared" si="0"/>
        <v>Not Assessed</v>
      </c>
      <c r="H27" s="37">
        <f t="shared" si="1"/>
        <v>-5</v>
      </c>
      <c r="I27" s="38"/>
    </row>
    <row r="28" spans="1:9" ht="43.5" customHeight="1">
      <c r="A28" s="39" t="s">
        <v>14</v>
      </c>
      <c r="B28" s="32" t="s">
        <v>39</v>
      </c>
      <c r="C28" s="40" t="s">
        <v>88</v>
      </c>
      <c r="D28" s="41" t="s">
        <v>89</v>
      </c>
      <c r="E28" s="42">
        <v>5</v>
      </c>
      <c r="F28" s="36" t="s">
        <v>42</v>
      </c>
      <c r="G28" s="36" t="str">
        <f t="shared" si="0"/>
        <v>Not Assessed</v>
      </c>
      <c r="H28" s="43">
        <f t="shared" si="1"/>
        <v>-5</v>
      </c>
      <c r="I28" s="44"/>
    </row>
    <row r="29" spans="1:9" ht="43.5" customHeight="1">
      <c r="A29" s="45" t="s">
        <v>14</v>
      </c>
      <c r="B29" s="46" t="s">
        <v>45</v>
      </c>
      <c r="C29" s="33" t="s">
        <v>90</v>
      </c>
      <c r="D29" s="34" t="s">
        <v>91</v>
      </c>
      <c r="E29" s="35">
        <v>1</v>
      </c>
      <c r="F29" s="36" t="s">
        <v>42</v>
      </c>
      <c r="G29" s="36" t="str">
        <f t="shared" si="0"/>
        <v>Not Assessed</v>
      </c>
      <c r="H29" s="37">
        <f t="shared" si="1"/>
        <v>-1</v>
      </c>
      <c r="I29" s="38"/>
    </row>
    <row r="30" spans="1:9" ht="43.5" customHeight="1">
      <c r="A30" s="31" t="s">
        <v>15</v>
      </c>
      <c r="B30" s="32" t="s">
        <v>39</v>
      </c>
      <c r="C30" s="40" t="s">
        <v>92</v>
      </c>
      <c r="D30" s="41" t="s">
        <v>93</v>
      </c>
      <c r="E30" s="42">
        <v>5</v>
      </c>
      <c r="F30" s="36" t="s">
        <v>42</v>
      </c>
      <c r="G30" s="36" t="str">
        <f t="shared" si="0"/>
        <v>Not Assessed</v>
      </c>
      <c r="H30" s="43">
        <f t="shared" si="1"/>
        <v>-5</v>
      </c>
      <c r="I30" s="44"/>
    </row>
    <row r="31" spans="1:9" ht="43.5" customHeight="1">
      <c r="A31" s="45" t="s">
        <v>15</v>
      </c>
      <c r="B31" s="32" t="s">
        <v>39</v>
      </c>
      <c r="C31" s="33" t="s">
        <v>94</v>
      </c>
      <c r="D31" s="34" t="s">
        <v>95</v>
      </c>
      <c r="E31" s="35">
        <v>3</v>
      </c>
      <c r="F31" s="36" t="s">
        <v>42</v>
      </c>
      <c r="G31" s="36" t="str">
        <f t="shared" si="0"/>
        <v>Not Assessed</v>
      </c>
      <c r="H31" s="37">
        <f t="shared" si="1"/>
        <v>-3</v>
      </c>
      <c r="I31" s="38"/>
    </row>
    <row r="32" spans="1:9" ht="43.5" customHeight="1">
      <c r="A32" s="39" t="s">
        <v>15</v>
      </c>
      <c r="B32" s="47" t="s">
        <v>45</v>
      </c>
      <c r="C32" s="40" t="s">
        <v>96</v>
      </c>
      <c r="D32" s="41" t="s">
        <v>97</v>
      </c>
      <c r="E32" s="42">
        <v>1</v>
      </c>
      <c r="F32" s="36" t="s">
        <v>42</v>
      </c>
      <c r="G32" s="36" t="str">
        <f t="shared" si="0"/>
        <v>Not Assessed</v>
      </c>
      <c r="H32" s="43">
        <f t="shared" si="1"/>
        <v>-1</v>
      </c>
      <c r="I32" s="44"/>
    </row>
    <row r="33" spans="1:9" ht="43.5" customHeight="1">
      <c r="A33" s="45" t="s">
        <v>15</v>
      </c>
      <c r="B33" s="46" t="s">
        <v>45</v>
      </c>
      <c r="C33" s="33" t="s">
        <v>98</v>
      </c>
      <c r="D33" s="34" t="s">
        <v>99</v>
      </c>
      <c r="E33" s="35">
        <v>1</v>
      </c>
      <c r="F33" s="36" t="s">
        <v>42</v>
      </c>
      <c r="G33" s="36" t="str">
        <f t="shared" si="0"/>
        <v>Not Assessed</v>
      </c>
      <c r="H33" s="37">
        <f t="shared" si="1"/>
        <v>-1</v>
      </c>
      <c r="I33" s="38"/>
    </row>
    <row r="34" spans="1:9" ht="43.5" customHeight="1">
      <c r="A34" s="39" t="s">
        <v>15</v>
      </c>
      <c r="B34" s="47" t="s">
        <v>45</v>
      </c>
      <c r="C34" s="40" t="s">
        <v>100</v>
      </c>
      <c r="D34" s="41" t="s">
        <v>101</v>
      </c>
      <c r="E34" s="42">
        <v>5</v>
      </c>
      <c r="F34" s="36" t="s">
        <v>42</v>
      </c>
      <c r="G34" s="36" t="str">
        <f t="shared" si="0"/>
        <v>Not Assessed</v>
      </c>
      <c r="H34" s="43">
        <f t="shared" si="1"/>
        <v>-5</v>
      </c>
      <c r="I34" s="44"/>
    </row>
    <row r="35" spans="1:9" ht="43.5" customHeight="1">
      <c r="A35" s="45" t="s">
        <v>15</v>
      </c>
      <c r="B35" s="46" t="s">
        <v>45</v>
      </c>
      <c r="C35" s="33" t="s">
        <v>102</v>
      </c>
      <c r="D35" s="34" t="s">
        <v>103</v>
      </c>
      <c r="E35" s="35">
        <v>1</v>
      </c>
      <c r="F35" s="36" t="s">
        <v>42</v>
      </c>
      <c r="G35" s="36" t="str">
        <f t="shared" si="0"/>
        <v>Not Assessed</v>
      </c>
      <c r="H35" s="37">
        <f t="shared" si="1"/>
        <v>-1</v>
      </c>
      <c r="I35" s="38"/>
    </row>
    <row r="36" spans="1:9" ht="43.5" customHeight="1">
      <c r="A36" s="39" t="s">
        <v>15</v>
      </c>
      <c r="B36" s="47" t="s">
        <v>45</v>
      </c>
      <c r="C36" s="40" t="s">
        <v>104</v>
      </c>
      <c r="D36" s="41" t="s">
        <v>105</v>
      </c>
      <c r="E36" s="42">
        <v>1</v>
      </c>
      <c r="F36" s="36" t="s">
        <v>42</v>
      </c>
      <c r="G36" s="36" t="str">
        <f t="shared" si="0"/>
        <v>Not Assessed</v>
      </c>
      <c r="H36" s="43">
        <f t="shared" si="1"/>
        <v>-1</v>
      </c>
      <c r="I36" s="44"/>
    </row>
    <row r="37" spans="1:9" ht="43.5" customHeight="1">
      <c r="A37" s="45" t="s">
        <v>15</v>
      </c>
      <c r="B37" s="46" t="s">
        <v>45</v>
      </c>
      <c r="C37" s="33" t="s">
        <v>106</v>
      </c>
      <c r="D37" s="34" t="s">
        <v>107</v>
      </c>
      <c r="E37" s="35">
        <v>1</v>
      </c>
      <c r="F37" s="36" t="s">
        <v>42</v>
      </c>
      <c r="G37" s="36" t="str">
        <f t="shared" ref="G37:G68" si="2">F37</f>
        <v>Not Assessed</v>
      </c>
      <c r="H37" s="37">
        <f t="shared" ref="H37:H68" si="3">IF(F37="Met",0,IF(F37="Partially Met",-CEILING(E37/2,1),IF(F37="Unmet",-E37,-E37)))</f>
        <v>-1</v>
      </c>
      <c r="I37" s="38"/>
    </row>
    <row r="38" spans="1:9" ht="43.5" customHeight="1">
      <c r="A38" s="39" t="s">
        <v>15</v>
      </c>
      <c r="B38" s="47" t="s">
        <v>45</v>
      </c>
      <c r="C38" s="40" t="s">
        <v>108</v>
      </c>
      <c r="D38" s="41" t="s">
        <v>109</v>
      </c>
      <c r="E38" s="42">
        <v>1</v>
      </c>
      <c r="F38" s="36" t="s">
        <v>42</v>
      </c>
      <c r="G38" s="36" t="str">
        <f t="shared" si="2"/>
        <v>Not Assessed</v>
      </c>
      <c r="H38" s="43">
        <f t="shared" si="3"/>
        <v>-1</v>
      </c>
      <c r="I38" s="44"/>
    </row>
    <row r="39" spans="1:9" ht="43.5" customHeight="1">
      <c r="A39" s="31" t="s">
        <v>16</v>
      </c>
      <c r="B39" s="32" t="s">
        <v>39</v>
      </c>
      <c r="C39" s="33" t="s">
        <v>110</v>
      </c>
      <c r="D39" s="34" t="s">
        <v>111</v>
      </c>
      <c r="E39" s="35">
        <v>5</v>
      </c>
      <c r="F39" s="36" t="s">
        <v>42</v>
      </c>
      <c r="G39" s="36" t="str">
        <f t="shared" si="2"/>
        <v>Not Assessed</v>
      </c>
      <c r="H39" s="37">
        <f t="shared" si="3"/>
        <v>-5</v>
      </c>
      <c r="I39" s="38"/>
    </row>
    <row r="40" spans="1:9" ht="43.5" customHeight="1">
      <c r="A40" s="39" t="s">
        <v>16</v>
      </c>
      <c r="B40" s="32" t="s">
        <v>39</v>
      </c>
      <c r="C40" s="40" t="s">
        <v>112</v>
      </c>
      <c r="D40" s="41" t="s">
        <v>113</v>
      </c>
      <c r="E40" s="42">
        <v>5</v>
      </c>
      <c r="F40" s="36" t="s">
        <v>42</v>
      </c>
      <c r="G40" s="36" t="str">
        <f t="shared" si="2"/>
        <v>Not Assessed</v>
      </c>
      <c r="H40" s="43">
        <f t="shared" si="3"/>
        <v>-5</v>
      </c>
      <c r="I40" s="44"/>
    </row>
    <row r="41" spans="1:9" ht="43.5" customHeight="1">
      <c r="A41" s="45" t="s">
        <v>16</v>
      </c>
      <c r="B41" s="46" t="s">
        <v>45</v>
      </c>
      <c r="C41" s="33" t="s">
        <v>114</v>
      </c>
      <c r="D41" s="34" t="s">
        <v>115</v>
      </c>
      <c r="E41" s="35">
        <v>1</v>
      </c>
      <c r="F41" s="36" t="s">
        <v>42</v>
      </c>
      <c r="G41" s="36" t="str">
        <f t="shared" si="2"/>
        <v>Not Assessed</v>
      </c>
      <c r="H41" s="37">
        <f t="shared" si="3"/>
        <v>-1</v>
      </c>
      <c r="I41" s="38"/>
    </row>
    <row r="42" spans="1:9" ht="43.5" customHeight="1">
      <c r="A42" s="39" t="s">
        <v>16</v>
      </c>
      <c r="B42" s="47" t="s">
        <v>45</v>
      </c>
      <c r="C42" s="40" t="s">
        <v>116</v>
      </c>
      <c r="D42" s="41" t="s">
        <v>117</v>
      </c>
      <c r="E42" s="42">
        <v>1</v>
      </c>
      <c r="F42" s="36" t="s">
        <v>42</v>
      </c>
      <c r="G42" s="36" t="str">
        <f t="shared" si="2"/>
        <v>Not Assessed</v>
      </c>
      <c r="H42" s="43">
        <f t="shared" si="3"/>
        <v>-1</v>
      </c>
      <c r="I42" s="44"/>
    </row>
    <row r="43" spans="1:9" ht="43.5" customHeight="1">
      <c r="A43" s="45" t="s">
        <v>16</v>
      </c>
      <c r="B43" s="46" t="s">
        <v>45</v>
      </c>
      <c r="C43" s="33" t="s">
        <v>118</v>
      </c>
      <c r="D43" s="34" t="s">
        <v>119</v>
      </c>
      <c r="E43" s="35">
        <v>5</v>
      </c>
      <c r="F43" s="36" t="s">
        <v>42</v>
      </c>
      <c r="G43" s="36" t="str">
        <f t="shared" si="2"/>
        <v>Not Assessed</v>
      </c>
      <c r="H43" s="37">
        <f t="shared" si="3"/>
        <v>-5</v>
      </c>
      <c r="I43" s="38"/>
    </row>
    <row r="44" spans="1:9" ht="43.5" customHeight="1">
      <c r="A44" s="39" t="s">
        <v>16</v>
      </c>
      <c r="B44" s="47" t="s">
        <v>45</v>
      </c>
      <c r="C44" s="40" t="s">
        <v>120</v>
      </c>
      <c r="D44" s="41" t="s">
        <v>121</v>
      </c>
      <c r="E44" s="42">
        <v>5</v>
      </c>
      <c r="F44" s="36" t="s">
        <v>42</v>
      </c>
      <c r="G44" s="36" t="str">
        <f t="shared" si="2"/>
        <v>Not Assessed</v>
      </c>
      <c r="H44" s="43">
        <f t="shared" si="3"/>
        <v>-5</v>
      </c>
      <c r="I44" s="44"/>
    </row>
    <row r="45" spans="1:9" ht="43.5" customHeight="1">
      <c r="A45" s="45" t="s">
        <v>16</v>
      </c>
      <c r="B45" s="46" t="s">
        <v>45</v>
      </c>
      <c r="C45" s="33" t="s">
        <v>122</v>
      </c>
      <c r="D45" s="34" t="s">
        <v>123</v>
      </c>
      <c r="E45" s="35">
        <v>5</v>
      </c>
      <c r="F45" s="36" t="s">
        <v>42</v>
      </c>
      <c r="G45" s="36" t="str">
        <f t="shared" si="2"/>
        <v>Not Assessed</v>
      </c>
      <c r="H45" s="37">
        <f t="shared" si="3"/>
        <v>-5</v>
      </c>
      <c r="I45" s="38"/>
    </row>
    <row r="46" spans="1:9" ht="43.5" customHeight="1">
      <c r="A46" s="39" t="s">
        <v>16</v>
      </c>
      <c r="B46" s="47" t="s">
        <v>45</v>
      </c>
      <c r="C46" s="40" t="s">
        <v>124</v>
      </c>
      <c r="D46" s="41" t="s">
        <v>125</v>
      </c>
      <c r="E46" s="42">
        <v>5</v>
      </c>
      <c r="F46" s="36" t="s">
        <v>42</v>
      </c>
      <c r="G46" s="36" t="str">
        <f t="shared" si="2"/>
        <v>Not Assessed</v>
      </c>
      <c r="H46" s="43">
        <f t="shared" si="3"/>
        <v>-5</v>
      </c>
      <c r="I46" s="44"/>
    </row>
    <row r="47" spans="1:9" ht="43.5" customHeight="1">
      <c r="A47" s="45" t="s">
        <v>16</v>
      </c>
      <c r="B47" s="46" t="s">
        <v>45</v>
      </c>
      <c r="C47" s="33" t="s">
        <v>126</v>
      </c>
      <c r="D47" s="34" t="s">
        <v>127</v>
      </c>
      <c r="E47" s="35">
        <v>1</v>
      </c>
      <c r="F47" s="36" t="s">
        <v>42</v>
      </c>
      <c r="G47" s="36" t="str">
        <f t="shared" si="2"/>
        <v>Not Assessed</v>
      </c>
      <c r="H47" s="37">
        <f t="shared" si="3"/>
        <v>-1</v>
      </c>
      <c r="I47" s="38"/>
    </row>
    <row r="48" spans="1:9" ht="43.5" customHeight="1">
      <c r="A48" s="31" t="s">
        <v>17</v>
      </c>
      <c r="B48" s="32" t="s">
        <v>39</v>
      </c>
      <c r="C48" s="40" t="s">
        <v>128</v>
      </c>
      <c r="D48" s="41" t="s">
        <v>129</v>
      </c>
      <c r="E48" s="42">
        <v>5</v>
      </c>
      <c r="F48" s="36" t="s">
        <v>42</v>
      </c>
      <c r="G48" s="36" t="str">
        <f t="shared" si="2"/>
        <v>Not Assessed</v>
      </c>
      <c r="H48" s="43">
        <f t="shared" si="3"/>
        <v>-5</v>
      </c>
      <c r="I48" s="44"/>
    </row>
    <row r="49" spans="1:9" ht="43.5" customHeight="1">
      <c r="A49" s="45" t="s">
        <v>17</v>
      </c>
      <c r="B49" s="32" t="s">
        <v>39</v>
      </c>
      <c r="C49" s="33" t="s">
        <v>130</v>
      </c>
      <c r="D49" s="34" t="s">
        <v>131</v>
      </c>
      <c r="E49" s="35">
        <v>5</v>
      </c>
      <c r="F49" s="36" t="s">
        <v>42</v>
      </c>
      <c r="G49" s="36" t="str">
        <f t="shared" si="2"/>
        <v>Not Assessed</v>
      </c>
      <c r="H49" s="37">
        <f t="shared" si="3"/>
        <v>-5</v>
      </c>
      <c r="I49" s="38"/>
    </row>
    <row r="50" spans="1:9" ht="43.5" customHeight="1">
      <c r="A50" s="39" t="s">
        <v>17</v>
      </c>
      <c r="B50" s="47" t="s">
        <v>45</v>
      </c>
      <c r="C50" s="40" t="s">
        <v>132</v>
      </c>
      <c r="D50" s="41" t="s">
        <v>133</v>
      </c>
      <c r="E50" s="42">
        <v>5</v>
      </c>
      <c r="F50" s="36" t="s">
        <v>42</v>
      </c>
      <c r="G50" s="36" t="str">
        <f t="shared" si="2"/>
        <v>Not Assessed</v>
      </c>
      <c r="H50" s="43">
        <f t="shared" si="3"/>
        <v>-5</v>
      </c>
      <c r="I50" s="44"/>
    </row>
    <row r="51" spans="1:9" ht="43.5" customHeight="1">
      <c r="A51" s="45" t="s">
        <v>17</v>
      </c>
      <c r="B51" s="46" t="s">
        <v>45</v>
      </c>
      <c r="C51" s="33" t="s">
        <v>134</v>
      </c>
      <c r="D51" s="34" t="s">
        <v>135</v>
      </c>
      <c r="E51" s="35">
        <v>1</v>
      </c>
      <c r="F51" s="36" t="s">
        <v>42</v>
      </c>
      <c r="G51" s="36" t="str">
        <f t="shared" si="2"/>
        <v>Not Assessed</v>
      </c>
      <c r="H51" s="37">
        <f t="shared" si="3"/>
        <v>-1</v>
      </c>
      <c r="I51" s="38"/>
    </row>
    <row r="52" spans="1:9" ht="43.5" customHeight="1">
      <c r="A52" s="39" t="s">
        <v>17</v>
      </c>
      <c r="B52" s="47" t="s">
        <v>45</v>
      </c>
      <c r="C52" s="40" t="s">
        <v>136</v>
      </c>
      <c r="D52" s="41" t="s">
        <v>137</v>
      </c>
      <c r="E52" s="42">
        <v>1</v>
      </c>
      <c r="F52" s="36" t="s">
        <v>42</v>
      </c>
      <c r="G52" s="36" t="str">
        <f t="shared" si="2"/>
        <v>Not Assessed</v>
      </c>
      <c r="H52" s="43">
        <f t="shared" si="3"/>
        <v>-1</v>
      </c>
      <c r="I52" s="44"/>
    </row>
    <row r="53" spans="1:9" ht="43.5" customHeight="1">
      <c r="A53" s="45" t="s">
        <v>17</v>
      </c>
      <c r="B53" s="46" t="s">
        <v>45</v>
      </c>
      <c r="C53" s="33" t="s">
        <v>138</v>
      </c>
      <c r="D53" s="34" t="s">
        <v>139</v>
      </c>
      <c r="E53" s="35">
        <v>1</v>
      </c>
      <c r="F53" s="36" t="s">
        <v>42</v>
      </c>
      <c r="G53" s="36" t="str">
        <f t="shared" si="2"/>
        <v>Not Assessed</v>
      </c>
      <c r="H53" s="37">
        <f t="shared" si="3"/>
        <v>-1</v>
      </c>
      <c r="I53" s="38"/>
    </row>
    <row r="54" spans="1:9" ht="43.5" customHeight="1">
      <c r="A54" s="39" t="s">
        <v>17</v>
      </c>
      <c r="B54" s="47" t="s">
        <v>45</v>
      </c>
      <c r="C54" s="40" t="s">
        <v>140</v>
      </c>
      <c r="D54" s="41" t="s">
        <v>141</v>
      </c>
      <c r="E54" s="42">
        <v>1</v>
      </c>
      <c r="F54" s="36" t="s">
        <v>42</v>
      </c>
      <c r="G54" s="36" t="str">
        <f t="shared" si="2"/>
        <v>Not Assessed</v>
      </c>
      <c r="H54" s="43">
        <f t="shared" si="3"/>
        <v>-1</v>
      </c>
      <c r="I54" s="44"/>
    </row>
    <row r="55" spans="1:9" ht="43.5" customHeight="1">
      <c r="A55" s="45" t="s">
        <v>17</v>
      </c>
      <c r="B55" s="46" t="s">
        <v>45</v>
      </c>
      <c r="C55" s="33" t="s">
        <v>142</v>
      </c>
      <c r="D55" s="34" t="s">
        <v>143</v>
      </c>
      <c r="E55" s="35">
        <v>1</v>
      </c>
      <c r="F55" s="36" t="s">
        <v>42</v>
      </c>
      <c r="G55" s="36" t="str">
        <f t="shared" si="2"/>
        <v>Not Assessed</v>
      </c>
      <c r="H55" s="37">
        <f t="shared" si="3"/>
        <v>-1</v>
      </c>
      <c r="I55" s="38"/>
    </row>
    <row r="56" spans="1:9" ht="43.5" customHeight="1">
      <c r="A56" s="39" t="s">
        <v>17</v>
      </c>
      <c r="B56" s="47" t="s">
        <v>45</v>
      </c>
      <c r="C56" s="40" t="s">
        <v>144</v>
      </c>
      <c r="D56" s="41" t="s">
        <v>145</v>
      </c>
      <c r="E56" s="42">
        <v>1</v>
      </c>
      <c r="F56" s="36" t="s">
        <v>42</v>
      </c>
      <c r="G56" s="36" t="str">
        <f t="shared" si="2"/>
        <v>Not Assessed</v>
      </c>
      <c r="H56" s="43">
        <f t="shared" si="3"/>
        <v>-1</v>
      </c>
      <c r="I56" s="44"/>
    </row>
    <row r="57" spans="1:9" ht="43.5" customHeight="1">
      <c r="A57" s="45" t="s">
        <v>17</v>
      </c>
      <c r="B57" s="46" t="s">
        <v>45</v>
      </c>
      <c r="C57" s="33" t="s">
        <v>146</v>
      </c>
      <c r="D57" s="34" t="s">
        <v>147</v>
      </c>
      <c r="E57" s="35">
        <v>5</v>
      </c>
      <c r="F57" s="36" t="s">
        <v>42</v>
      </c>
      <c r="G57" s="36" t="str">
        <f t="shared" si="2"/>
        <v>Not Assessed</v>
      </c>
      <c r="H57" s="37">
        <f t="shared" si="3"/>
        <v>-5</v>
      </c>
      <c r="I57" s="38"/>
    </row>
    <row r="58" spans="1:9" ht="43.5" customHeight="1">
      <c r="A58" s="39" t="s">
        <v>17</v>
      </c>
      <c r="B58" s="47" t="s">
        <v>45</v>
      </c>
      <c r="C58" s="40" t="s">
        <v>148</v>
      </c>
      <c r="D58" s="41" t="s">
        <v>149</v>
      </c>
      <c r="E58" s="42">
        <v>1</v>
      </c>
      <c r="F58" s="36" t="s">
        <v>42</v>
      </c>
      <c r="G58" s="36" t="str">
        <f t="shared" si="2"/>
        <v>Not Assessed</v>
      </c>
      <c r="H58" s="43">
        <f t="shared" si="3"/>
        <v>-1</v>
      </c>
      <c r="I58" s="44"/>
    </row>
    <row r="59" spans="1:9" ht="43.5" customHeight="1">
      <c r="A59" s="31" t="s">
        <v>18</v>
      </c>
      <c r="B59" s="32" t="s">
        <v>39</v>
      </c>
      <c r="C59" s="33" t="s">
        <v>150</v>
      </c>
      <c r="D59" s="34" t="s">
        <v>151</v>
      </c>
      <c r="E59" s="35">
        <v>5</v>
      </c>
      <c r="F59" s="36" t="s">
        <v>42</v>
      </c>
      <c r="G59" s="36" t="str">
        <f t="shared" si="2"/>
        <v>Not Assessed</v>
      </c>
      <c r="H59" s="37">
        <f t="shared" si="3"/>
        <v>-5</v>
      </c>
      <c r="I59" s="38"/>
    </row>
    <row r="60" spans="1:9" ht="43.5" customHeight="1">
      <c r="A60" s="39" t="s">
        <v>18</v>
      </c>
      <c r="B60" s="32" t="s">
        <v>39</v>
      </c>
      <c r="C60" s="40" t="s">
        <v>152</v>
      </c>
      <c r="D60" s="41" t="s">
        <v>153</v>
      </c>
      <c r="E60" s="42">
        <v>5</v>
      </c>
      <c r="F60" s="36" t="s">
        <v>42</v>
      </c>
      <c r="G60" s="36" t="str">
        <f t="shared" si="2"/>
        <v>Not Assessed</v>
      </c>
      <c r="H60" s="43">
        <f t="shared" si="3"/>
        <v>-5</v>
      </c>
      <c r="I60" s="44"/>
    </row>
    <row r="61" spans="1:9" ht="43.5" customHeight="1">
      <c r="A61" s="45" t="s">
        <v>18</v>
      </c>
      <c r="B61" s="46" t="s">
        <v>45</v>
      </c>
      <c r="C61" s="33" t="s">
        <v>154</v>
      </c>
      <c r="D61" s="34" t="s">
        <v>155</v>
      </c>
      <c r="E61" s="35">
        <v>1</v>
      </c>
      <c r="F61" s="36" t="s">
        <v>42</v>
      </c>
      <c r="G61" s="36" t="str">
        <f t="shared" si="2"/>
        <v>Not Assessed</v>
      </c>
      <c r="H61" s="37">
        <f t="shared" si="3"/>
        <v>-1</v>
      </c>
      <c r="I61" s="38"/>
    </row>
    <row r="62" spans="1:9" ht="43.5" customHeight="1">
      <c r="A62" s="31" t="s">
        <v>19</v>
      </c>
      <c r="B62" s="32" t="s">
        <v>39</v>
      </c>
      <c r="C62" s="40" t="s">
        <v>156</v>
      </c>
      <c r="D62" s="41" t="s">
        <v>157</v>
      </c>
      <c r="E62" s="42">
        <v>3</v>
      </c>
      <c r="F62" s="36" t="s">
        <v>42</v>
      </c>
      <c r="G62" s="36" t="str">
        <f t="shared" si="2"/>
        <v>Not Assessed</v>
      </c>
      <c r="H62" s="43">
        <f t="shared" si="3"/>
        <v>-3</v>
      </c>
      <c r="I62" s="44"/>
    </row>
    <row r="63" spans="1:9" ht="43.5" customHeight="1">
      <c r="A63" s="45" t="s">
        <v>19</v>
      </c>
      <c r="B63" s="32" t="s">
        <v>39</v>
      </c>
      <c r="C63" s="33" t="s">
        <v>158</v>
      </c>
      <c r="D63" s="34" t="s">
        <v>159</v>
      </c>
      <c r="E63" s="35">
        <v>5</v>
      </c>
      <c r="F63" s="36" t="s">
        <v>42</v>
      </c>
      <c r="G63" s="36" t="str">
        <f t="shared" si="2"/>
        <v>Not Assessed</v>
      </c>
      <c r="H63" s="37">
        <f t="shared" si="3"/>
        <v>-5</v>
      </c>
      <c r="I63" s="38"/>
    </row>
    <row r="64" spans="1:9" ht="43.5" customHeight="1">
      <c r="A64" s="39" t="s">
        <v>19</v>
      </c>
      <c r="B64" s="47" t="s">
        <v>45</v>
      </c>
      <c r="C64" s="40" t="s">
        <v>160</v>
      </c>
      <c r="D64" s="41" t="s">
        <v>161</v>
      </c>
      <c r="E64" s="42">
        <v>1</v>
      </c>
      <c r="F64" s="36" t="s">
        <v>42</v>
      </c>
      <c r="G64" s="36" t="str">
        <f t="shared" si="2"/>
        <v>Not Assessed</v>
      </c>
      <c r="H64" s="43">
        <f t="shared" si="3"/>
        <v>-1</v>
      </c>
      <c r="I64" s="44"/>
    </row>
    <row r="65" spans="1:9" ht="43.5" customHeight="1">
      <c r="A65" s="45" t="s">
        <v>19</v>
      </c>
      <c r="B65" s="46" t="s">
        <v>45</v>
      </c>
      <c r="C65" s="33" t="s">
        <v>162</v>
      </c>
      <c r="D65" s="34" t="s">
        <v>163</v>
      </c>
      <c r="E65" s="35">
        <v>3</v>
      </c>
      <c r="F65" s="36" t="s">
        <v>42</v>
      </c>
      <c r="G65" s="36" t="str">
        <f t="shared" si="2"/>
        <v>Not Assessed</v>
      </c>
      <c r="H65" s="37">
        <f t="shared" si="3"/>
        <v>-3</v>
      </c>
      <c r="I65" s="38"/>
    </row>
    <row r="66" spans="1:9" ht="43.5" customHeight="1">
      <c r="A66" s="39" t="s">
        <v>19</v>
      </c>
      <c r="B66" s="47" t="s">
        <v>45</v>
      </c>
      <c r="C66" s="40" t="s">
        <v>164</v>
      </c>
      <c r="D66" s="41" t="s">
        <v>165</v>
      </c>
      <c r="E66" s="42">
        <v>5</v>
      </c>
      <c r="F66" s="36" t="s">
        <v>42</v>
      </c>
      <c r="G66" s="36" t="str">
        <f t="shared" si="2"/>
        <v>Not Assessed</v>
      </c>
      <c r="H66" s="43">
        <f t="shared" si="3"/>
        <v>-5</v>
      </c>
      <c r="I66" s="44"/>
    </row>
    <row r="67" spans="1:9" ht="43.5" customHeight="1">
      <c r="A67" s="45" t="s">
        <v>19</v>
      </c>
      <c r="B67" s="46" t="s">
        <v>45</v>
      </c>
      <c r="C67" s="33" t="s">
        <v>166</v>
      </c>
      <c r="D67" s="34" t="s">
        <v>167</v>
      </c>
      <c r="E67" s="35">
        <v>1</v>
      </c>
      <c r="F67" s="36" t="s">
        <v>42</v>
      </c>
      <c r="G67" s="36" t="str">
        <f t="shared" si="2"/>
        <v>Not Assessed</v>
      </c>
      <c r="H67" s="37">
        <f t="shared" si="3"/>
        <v>-1</v>
      </c>
      <c r="I67" s="38"/>
    </row>
    <row r="68" spans="1:9" ht="43.5" customHeight="1">
      <c r="A68" s="31" t="s">
        <v>20</v>
      </c>
      <c r="B68" s="32" t="s">
        <v>39</v>
      </c>
      <c r="C68" s="40" t="s">
        <v>168</v>
      </c>
      <c r="D68" s="41" t="s">
        <v>169</v>
      </c>
      <c r="E68" s="42">
        <v>3</v>
      </c>
      <c r="F68" s="36" t="s">
        <v>42</v>
      </c>
      <c r="G68" s="36" t="str">
        <f t="shared" si="2"/>
        <v>Not Assessed</v>
      </c>
      <c r="H68" s="43">
        <f t="shared" si="3"/>
        <v>-3</v>
      </c>
      <c r="I68" s="44"/>
    </row>
    <row r="69" spans="1:9" ht="43.5" customHeight="1">
      <c r="A69" s="45" t="s">
        <v>20</v>
      </c>
      <c r="B69" s="32" t="s">
        <v>39</v>
      </c>
      <c r="C69" s="33" t="s">
        <v>170</v>
      </c>
      <c r="D69" s="34" t="s">
        <v>171</v>
      </c>
      <c r="E69" s="35">
        <v>3</v>
      </c>
      <c r="F69" s="36" t="s">
        <v>42</v>
      </c>
      <c r="G69" s="36" t="str">
        <f t="shared" ref="G69:G100" si="4">F69</f>
        <v>Not Assessed</v>
      </c>
      <c r="H69" s="37">
        <f t="shared" ref="H69:H100" si="5">IF(F69="Met",0,IF(F69="Partially Met",-CEILING(E69/2,1),IF(F69="Unmet",-E69,-E69)))</f>
        <v>-3</v>
      </c>
      <c r="I69" s="38"/>
    </row>
    <row r="70" spans="1:9" ht="43.5" customHeight="1">
      <c r="A70" s="39" t="s">
        <v>20</v>
      </c>
      <c r="B70" s="32" t="s">
        <v>39</v>
      </c>
      <c r="C70" s="40" t="s">
        <v>172</v>
      </c>
      <c r="D70" s="41" t="s">
        <v>173</v>
      </c>
      <c r="E70" s="42">
        <v>5</v>
      </c>
      <c r="F70" s="36" t="s">
        <v>42</v>
      </c>
      <c r="G70" s="36" t="str">
        <f t="shared" si="4"/>
        <v>Not Assessed</v>
      </c>
      <c r="H70" s="43">
        <f t="shared" si="5"/>
        <v>-5</v>
      </c>
      <c r="I70" s="44"/>
    </row>
    <row r="71" spans="1:9" ht="43.5" customHeight="1">
      <c r="A71" s="45" t="s">
        <v>20</v>
      </c>
      <c r="B71" s="46" t="s">
        <v>45</v>
      </c>
      <c r="C71" s="33" t="s">
        <v>174</v>
      </c>
      <c r="D71" s="34" t="s">
        <v>175</v>
      </c>
      <c r="E71" s="35">
        <v>1</v>
      </c>
      <c r="F71" s="36" t="s">
        <v>42</v>
      </c>
      <c r="G71" s="36" t="str">
        <f t="shared" si="4"/>
        <v>Not Assessed</v>
      </c>
      <c r="H71" s="37">
        <f t="shared" si="5"/>
        <v>-1</v>
      </c>
      <c r="I71" s="38"/>
    </row>
    <row r="72" spans="1:9" ht="43.5" customHeight="1">
      <c r="A72" s="39" t="s">
        <v>20</v>
      </c>
      <c r="B72" s="47" t="s">
        <v>45</v>
      </c>
      <c r="C72" s="40" t="s">
        <v>176</v>
      </c>
      <c r="D72" s="41" t="s">
        <v>177</v>
      </c>
      <c r="E72" s="42">
        <v>1</v>
      </c>
      <c r="F72" s="36" t="s">
        <v>42</v>
      </c>
      <c r="G72" s="36" t="str">
        <f t="shared" si="4"/>
        <v>Not Assessed</v>
      </c>
      <c r="H72" s="43">
        <f t="shared" si="5"/>
        <v>-1</v>
      </c>
      <c r="I72" s="44"/>
    </row>
    <row r="73" spans="1:9" ht="43.5" customHeight="1">
      <c r="A73" s="45" t="s">
        <v>20</v>
      </c>
      <c r="B73" s="46" t="s">
        <v>45</v>
      </c>
      <c r="C73" s="33" t="s">
        <v>178</v>
      </c>
      <c r="D73" s="34" t="s">
        <v>179</v>
      </c>
      <c r="E73" s="35">
        <v>1</v>
      </c>
      <c r="F73" s="36" t="s">
        <v>42</v>
      </c>
      <c r="G73" s="36" t="str">
        <f t="shared" si="4"/>
        <v>Not Assessed</v>
      </c>
      <c r="H73" s="37">
        <f t="shared" si="5"/>
        <v>-1</v>
      </c>
      <c r="I73" s="38"/>
    </row>
    <row r="74" spans="1:9" ht="43.5" customHeight="1">
      <c r="A74" s="39" t="s">
        <v>20</v>
      </c>
      <c r="B74" s="47" t="s">
        <v>45</v>
      </c>
      <c r="C74" s="40" t="s">
        <v>180</v>
      </c>
      <c r="D74" s="41" t="s">
        <v>181</v>
      </c>
      <c r="E74" s="42">
        <v>5</v>
      </c>
      <c r="F74" s="36" t="s">
        <v>42</v>
      </c>
      <c r="G74" s="36" t="str">
        <f t="shared" si="4"/>
        <v>Not Assessed</v>
      </c>
      <c r="H74" s="43">
        <f t="shared" si="5"/>
        <v>-5</v>
      </c>
      <c r="I74" s="44"/>
    </row>
    <row r="75" spans="1:9" ht="43.5" customHeight="1">
      <c r="A75" s="45" t="s">
        <v>20</v>
      </c>
      <c r="B75" s="46" t="s">
        <v>45</v>
      </c>
      <c r="C75" s="33" t="s">
        <v>182</v>
      </c>
      <c r="D75" s="34" t="s">
        <v>183</v>
      </c>
      <c r="E75" s="35">
        <v>3</v>
      </c>
      <c r="F75" s="36" t="s">
        <v>42</v>
      </c>
      <c r="G75" s="36" t="str">
        <f t="shared" si="4"/>
        <v>Not Assessed</v>
      </c>
      <c r="H75" s="37">
        <f t="shared" si="5"/>
        <v>-3</v>
      </c>
      <c r="I75" s="38"/>
    </row>
    <row r="76" spans="1:9" ht="43.5" customHeight="1">
      <c r="A76" s="39" t="s">
        <v>20</v>
      </c>
      <c r="B76" s="47" t="s">
        <v>45</v>
      </c>
      <c r="C76" s="40" t="s">
        <v>184</v>
      </c>
      <c r="D76" s="41" t="s">
        <v>185</v>
      </c>
      <c r="E76" s="42">
        <v>1</v>
      </c>
      <c r="F76" s="36" t="s">
        <v>42</v>
      </c>
      <c r="G76" s="36" t="str">
        <f t="shared" si="4"/>
        <v>Not Assessed</v>
      </c>
      <c r="H76" s="43">
        <f t="shared" si="5"/>
        <v>-1</v>
      </c>
      <c r="I76" s="44"/>
    </row>
    <row r="77" spans="1:9" ht="43.5" customHeight="1">
      <c r="A77" s="31" t="s">
        <v>21</v>
      </c>
      <c r="B77" s="32" t="s">
        <v>39</v>
      </c>
      <c r="C77" s="33" t="s">
        <v>186</v>
      </c>
      <c r="D77" s="34" t="s">
        <v>187</v>
      </c>
      <c r="E77" s="35">
        <v>3</v>
      </c>
      <c r="F77" s="36" t="s">
        <v>42</v>
      </c>
      <c r="G77" s="36" t="str">
        <f t="shared" si="4"/>
        <v>Not Assessed</v>
      </c>
      <c r="H77" s="37">
        <f t="shared" si="5"/>
        <v>-3</v>
      </c>
      <c r="I77" s="38"/>
    </row>
    <row r="78" spans="1:9" ht="43.5" customHeight="1">
      <c r="A78" s="39" t="s">
        <v>21</v>
      </c>
      <c r="B78" s="32" t="s">
        <v>39</v>
      </c>
      <c r="C78" s="40" t="s">
        <v>188</v>
      </c>
      <c r="D78" s="41" t="s">
        <v>189</v>
      </c>
      <c r="E78" s="42">
        <v>5</v>
      </c>
      <c r="F78" s="36" t="s">
        <v>42</v>
      </c>
      <c r="G78" s="36" t="str">
        <f t="shared" si="4"/>
        <v>Not Assessed</v>
      </c>
      <c r="H78" s="43">
        <f t="shared" si="5"/>
        <v>-5</v>
      </c>
      <c r="I78" s="44"/>
    </row>
    <row r="79" spans="1:9" ht="43.5" customHeight="1">
      <c r="A79" s="31" t="s">
        <v>22</v>
      </c>
      <c r="B79" s="32" t="s">
        <v>39</v>
      </c>
      <c r="C79" s="33" t="s">
        <v>190</v>
      </c>
      <c r="D79" s="34" t="s">
        <v>191</v>
      </c>
      <c r="E79" s="35">
        <v>5</v>
      </c>
      <c r="F79" s="36" t="s">
        <v>42</v>
      </c>
      <c r="G79" s="36" t="str">
        <f t="shared" si="4"/>
        <v>Not Assessed</v>
      </c>
      <c r="H79" s="37">
        <f t="shared" si="5"/>
        <v>-5</v>
      </c>
      <c r="I79" s="38"/>
    </row>
    <row r="80" spans="1:9" ht="43.5" customHeight="1">
      <c r="A80" s="39" t="s">
        <v>22</v>
      </c>
      <c r="B80" s="32" t="s">
        <v>39</v>
      </c>
      <c r="C80" s="40" t="s">
        <v>192</v>
      </c>
      <c r="D80" s="41" t="s">
        <v>193</v>
      </c>
      <c r="E80" s="42">
        <v>5</v>
      </c>
      <c r="F80" s="36" t="s">
        <v>42</v>
      </c>
      <c r="G80" s="36" t="str">
        <f t="shared" si="4"/>
        <v>Not Assessed</v>
      </c>
      <c r="H80" s="43">
        <f t="shared" si="5"/>
        <v>-5</v>
      </c>
      <c r="I80" s="44"/>
    </row>
    <row r="81" spans="1:9" ht="43.5" customHeight="1">
      <c r="A81" s="45" t="s">
        <v>22</v>
      </c>
      <c r="B81" s="46" t="s">
        <v>45</v>
      </c>
      <c r="C81" s="33" t="s">
        <v>194</v>
      </c>
      <c r="D81" s="34" t="s">
        <v>195</v>
      </c>
      <c r="E81" s="35">
        <v>1</v>
      </c>
      <c r="F81" s="36" t="s">
        <v>42</v>
      </c>
      <c r="G81" s="36" t="str">
        <f t="shared" si="4"/>
        <v>Not Assessed</v>
      </c>
      <c r="H81" s="37">
        <f t="shared" si="5"/>
        <v>-1</v>
      </c>
      <c r="I81" s="38"/>
    </row>
    <row r="82" spans="1:9" ht="43.5" customHeight="1">
      <c r="A82" s="39" t="s">
        <v>22</v>
      </c>
      <c r="B82" s="47" t="s">
        <v>45</v>
      </c>
      <c r="C82" s="40" t="s">
        <v>196</v>
      </c>
      <c r="D82" s="41" t="s">
        <v>197</v>
      </c>
      <c r="E82" s="42">
        <v>1</v>
      </c>
      <c r="F82" s="36" t="s">
        <v>42</v>
      </c>
      <c r="G82" s="36" t="str">
        <f t="shared" si="4"/>
        <v>Not Assessed</v>
      </c>
      <c r="H82" s="43">
        <f t="shared" si="5"/>
        <v>-1</v>
      </c>
      <c r="I82" s="44"/>
    </row>
    <row r="83" spans="1:9" ht="43.5" customHeight="1">
      <c r="A83" s="45" t="s">
        <v>22</v>
      </c>
      <c r="B83" s="46" t="s">
        <v>45</v>
      </c>
      <c r="C83" s="33" t="s">
        <v>198</v>
      </c>
      <c r="D83" s="34" t="s">
        <v>199</v>
      </c>
      <c r="E83" s="35">
        <v>1</v>
      </c>
      <c r="F83" s="36" t="s">
        <v>42</v>
      </c>
      <c r="G83" s="36" t="str">
        <f t="shared" si="4"/>
        <v>Not Assessed</v>
      </c>
      <c r="H83" s="37">
        <f t="shared" si="5"/>
        <v>-1</v>
      </c>
      <c r="I83" s="38"/>
    </row>
    <row r="84" spans="1:9" ht="43.5" customHeight="1">
      <c r="A84" s="39" t="s">
        <v>22</v>
      </c>
      <c r="B84" s="47" t="s">
        <v>45</v>
      </c>
      <c r="C84" s="40" t="s">
        <v>200</v>
      </c>
      <c r="D84" s="41" t="s">
        <v>201</v>
      </c>
      <c r="E84" s="42">
        <v>1</v>
      </c>
      <c r="F84" s="36" t="s">
        <v>42</v>
      </c>
      <c r="G84" s="36" t="str">
        <f t="shared" si="4"/>
        <v>Not Assessed</v>
      </c>
      <c r="H84" s="43">
        <f t="shared" si="5"/>
        <v>-1</v>
      </c>
      <c r="I84" s="44"/>
    </row>
    <row r="85" spans="1:9" ht="43.5" customHeight="1">
      <c r="A85" s="31" t="s">
        <v>23</v>
      </c>
      <c r="B85" s="32" t="s">
        <v>39</v>
      </c>
      <c r="C85" s="33" t="s">
        <v>202</v>
      </c>
      <c r="D85" s="34" t="s">
        <v>203</v>
      </c>
      <c r="E85" s="35">
        <v>3</v>
      </c>
      <c r="F85" s="36" t="s">
        <v>42</v>
      </c>
      <c r="G85" s="36" t="str">
        <f t="shared" si="4"/>
        <v>Not Assessed</v>
      </c>
      <c r="H85" s="37">
        <f t="shared" si="5"/>
        <v>-3</v>
      </c>
      <c r="I85" s="38"/>
    </row>
    <row r="86" spans="1:9" ht="43.5" customHeight="1">
      <c r="A86" s="39" t="s">
        <v>23</v>
      </c>
      <c r="B86" s="47" t="s">
        <v>45</v>
      </c>
      <c r="C86" s="40" t="s">
        <v>204</v>
      </c>
      <c r="D86" s="41" t="s">
        <v>205</v>
      </c>
      <c r="E86" s="42">
        <v>5</v>
      </c>
      <c r="F86" s="36" t="s">
        <v>42</v>
      </c>
      <c r="G86" s="36" t="str">
        <f t="shared" si="4"/>
        <v>Not Assessed</v>
      </c>
      <c r="H86" s="43">
        <f t="shared" si="5"/>
        <v>-5</v>
      </c>
      <c r="I86" s="44"/>
    </row>
    <row r="87" spans="1:9" ht="43.5" customHeight="1">
      <c r="A87" s="45" t="s">
        <v>23</v>
      </c>
      <c r="B87" s="46" t="s">
        <v>45</v>
      </c>
      <c r="C87" s="33" t="s">
        <v>206</v>
      </c>
      <c r="D87" s="34" t="s">
        <v>207</v>
      </c>
      <c r="E87" s="35">
        <v>1</v>
      </c>
      <c r="F87" s="36" t="s">
        <v>42</v>
      </c>
      <c r="G87" s="36" t="str">
        <f t="shared" si="4"/>
        <v>Not Assessed</v>
      </c>
      <c r="H87" s="37">
        <f t="shared" si="5"/>
        <v>-1</v>
      </c>
      <c r="I87" s="38"/>
    </row>
    <row r="88" spans="1:9" ht="43.5" customHeight="1">
      <c r="A88" s="31" t="s">
        <v>24</v>
      </c>
      <c r="B88" s="32" t="s">
        <v>39</v>
      </c>
      <c r="C88" s="40" t="s">
        <v>208</v>
      </c>
      <c r="D88" s="41" t="s">
        <v>209</v>
      </c>
      <c r="E88" s="42">
        <v>5</v>
      </c>
      <c r="F88" s="36" t="s">
        <v>42</v>
      </c>
      <c r="G88" s="36" t="str">
        <f t="shared" si="4"/>
        <v>Not Assessed</v>
      </c>
      <c r="H88" s="43">
        <f t="shared" si="5"/>
        <v>-5</v>
      </c>
      <c r="I88" s="44"/>
    </row>
    <row r="89" spans="1:9" ht="43.5" customHeight="1">
      <c r="A89" s="45" t="s">
        <v>24</v>
      </c>
      <c r="B89" s="32" t="s">
        <v>39</v>
      </c>
      <c r="C89" s="33" t="s">
        <v>210</v>
      </c>
      <c r="D89" s="34" t="s">
        <v>211</v>
      </c>
      <c r="E89" s="35">
        <v>3</v>
      </c>
      <c r="F89" s="36" t="s">
        <v>42</v>
      </c>
      <c r="G89" s="36" t="str">
        <f t="shared" si="4"/>
        <v>Not Assessed</v>
      </c>
      <c r="H89" s="37">
        <f t="shared" si="5"/>
        <v>-3</v>
      </c>
      <c r="I89" s="38"/>
    </row>
    <row r="90" spans="1:9" ht="43.5" customHeight="1">
      <c r="A90" s="39" t="s">
        <v>24</v>
      </c>
      <c r="B90" s="32" t="s">
        <v>39</v>
      </c>
      <c r="C90" s="40" t="s">
        <v>212</v>
      </c>
      <c r="D90" s="41" t="s">
        <v>213</v>
      </c>
      <c r="E90" s="42">
        <v>5</v>
      </c>
      <c r="F90" s="36" t="s">
        <v>42</v>
      </c>
      <c r="G90" s="36" t="str">
        <f t="shared" si="4"/>
        <v>Not Assessed</v>
      </c>
      <c r="H90" s="43">
        <f t="shared" si="5"/>
        <v>-5</v>
      </c>
      <c r="I90" s="44"/>
    </row>
    <row r="91" spans="1:9" ht="43.5" customHeight="1">
      <c r="A91" s="45" t="s">
        <v>24</v>
      </c>
      <c r="B91" s="32" t="s">
        <v>39</v>
      </c>
      <c r="C91" s="33" t="s">
        <v>214</v>
      </c>
      <c r="D91" s="34" t="s">
        <v>215</v>
      </c>
      <c r="E91" s="35">
        <v>0</v>
      </c>
      <c r="F91" s="36" t="s">
        <v>42</v>
      </c>
      <c r="G91" s="36" t="str">
        <f t="shared" si="4"/>
        <v>Not Assessed</v>
      </c>
      <c r="H91" s="37">
        <f t="shared" si="5"/>
        <v>0</v>
      </c>
      <c r="I91" s="38"/>
    </row>
    <row r="92" spans="1:9" ht="43.5" customHeight="1">
      <c r="A92" s="31" t="s">
        <v>25</v>
      </c>
      <c r="B92" s="32" t="s">
        <v>39</v>
      </c>
      <c r="C92" s="40" t="s">
        <v>216</v>
      </c>
      <c r="D92" s="41" t="s">
        <v>217</v>
      </c>
      <c r="E92" s="42">
        <v>5</v>
      </c>
      <c r="F92" s="36" t="s">
        <v>42</v>
      </c>
      <c r="G92" s="36" t="str">
        <f t="shared" si="4"/>
        <v>Not Assessed</v>
      </c>
      <c r="H92" s="43">
        <f t="shared" si="5"/>
        <v>-5</v>
      </c>
      <c r="I92" s="44"/>
    </row>
    <row r="93" spans="1:9" ht="43.5" customHeight="1">
      <c r="A93" s="45" t="s">
        <v>25</v>
      </c>
      <c r="B93" s="32" t="s">
        <v>39</v>
      </c>
      <c r="C93" s="33" t="s">
        <v>218</v>
      </c>
      <c r="D93" s="34" t="s">
        <v>219</v>
      </c>
      <c r="E93" s="35">
        <v>5</v>
      </c>
      <c r="F93" s="36" t="s">
        <v>42</v>
      </c>
      <c r="G93" s="36" t="str">
        <f t="shared" si="4"/>
        <v>Not Assessed</v>
      </c>
      <c r="H93" s="37">
        <f t="shared" si="5"/>
        <v>-5</v>
      </c>
      <c r="I93" s="38"/>
    </row>
    <row r="94" spans="1:9" ht="43.5" customHeight="1">
      <c r="A94" s="39" t="s">
        <v>25</v>
      </c>
      <c r="B94" s="47" t="s">
        <v>45</v>
      </c>
      <c r="C94" s="40" t="s">
        <v>220</v>
      </c>
      <c r="D94" s="41" t="s">
        <v>221</v>
      </c>
      <c r="E94" s="42">
        <v>1</v>
      </c>
      <c r="F94" s="36" t="s">
        <v>42</v>
      </c>
      <c r="G94" s="36" t="str">
        <f t="shared" si="4"/>
        <v>Not Assessed</v>
      </c>
      <c r="H94" s="43">
        <f t="shared" si="5"/>
        <v>-1</v>
      </c>
      <c r="I94" s="44"/>
    </row>
    <row r="95" spans="1:9" ht="43.5" customHeight="1">
      <c r="A95" s="45" t="s">
        <v>25</v>
      </c>
      <c r="B95" s="46" t="s">
        <v>45</v>
      </c>
      <c r="C95" s="33" t="s">
        <v>222</v>
      </c>
      <c r="D95" s="34" t="s">
        <v>223</v>
      </c>
      <c r="E95" s="35">
        <v>1</v>
      </c>
      <c r="F95" s="36" t="s">
        <v>42</v>
      </c>
      <c r="G95" s="36" t="str">
        <f t="shared" si="4"/>
        <v>Not Assessed</v>
      </c>
      <c r="H95" s="37">
        <f t="shared" si="5"/>
        <v>-1</v>
      </c>
      <c r="I95" s="38"/>
    </row>
    <row r="96" spans="1:9" ht="43.5" customHeight="1">
      <c r="A96" s="39" t="s">
        <v>25</v>
      </c>
      <c r="B96" s="47" t="s">
        <v>45</v>
      </c>
      <c r="C96" s="40" t="s">
        <v>224</v>
      </c>
      <c r="D96" s="41" t="s">
        <v>225</v>
      </c>
      <c r="E96" s="42">
        <v>5</v>
      </c>
      <c r="F96" s="36" t="s">
        <v>42</v>
      </c>
      <c r="G96" s="36" t="str">
        <f t="shared" si="4"/>
        <v>Not Assessed</v>
      </c>
      <c r="H96" s="43">
        <f t="shared" si="5"/>
        <v>-5</v>
      </c>
      <c r="I96" s="44"/>
    </row>
    <row r="97" spans="1:9" ht="43.5" customHeight="1">
      <c r="A97" s="45" t="s">
        <v>25</v>
      </c>
      <c r="B97" s="46" t="s">
        <v>45</v>
      </c>
      <c r="C97" s="33" t="s">
        <v>226</v>
      </c>
      <c r="D97" s="34" t="s">
        <v>227</v>
      </c>
      <c r="E97" s="35">
        <v>5</v>
      </c>
      <c r="F97" s="36" t="s">
        <v>42</v>
      </c>
      <c r="G97" s="36" t="str">
        <f t="shared" si="4"/>
        <v>Not Assessed</v>
      </c>
      <c r="H97" s="37">
        <f t="shared" si="5"/>
        <v>-5</v>
      </c>
      <c r="I97" s="38"/>
    </row>
    <row r="98" spans="1:9" ht="43.5" customHeight="1">
      <c r="A98" s="39" t="s">
        <v>25</v>
      </c>
      <c r="B98" s="47" t="s">
        <v>45</v>
      </c>
      <c r="C98" s="40" t="s">
        <v>228</v>
      </c>
      <c r="D98" s="41" t="s">
        <v>229</v>
      </c>
      <c r="E98" s="42">
        <v>1</v>
      </c>
      <c r="F98" s="36" t="s">
        <v>42</v>
      </c>
      <c r="G98" s="36" t="str">
        <f t="shared" si="4"/>
        <v>Not Assessed</v>
      </c>
      <c r="H98" s="43">
        <f t="shared" si="5"/>
        <v>-1</v>
      </c>
      <c r="I98" s="44"/>
    </row>
    <row r="99" spans="1:9" ht="43.5" customHeight="1">
      <c r="A99" s="45" t="s">
        <v>25</v>
      </c>
      <c r="B99" s="46" t="s">
        <v>45</v>
      </c>
      <c r="C99" s="33" t="s">
        <v>230</v>
      </c>
      <c r="D99" s="34" t="s">
        <v>231</v>
      </c>
      <c r="E99" s="35">
        <v>3</v>
      </c>
      <c r="F99" s="36" t="s">
        <v>42</v>
      </c>
      <c r="G99" s="36" t="str">
        <f t="shared" si="4"/>
        <v>Not Assessed</v>
      </c>
      <c r="H99" s="37">
        <f t="shared" si="5"/>
        <v>-3</v>
      </c>
      <c r="I99" s="38"/>
    </row>
    <row r="100" spans="1:9" ht="43.5" customHeight="1">
      <c r="A100" s="39" t="s">
        <v>25</v>
      </c>
      <c r="B100" s="47" t="s">
        <v>45</v>
      </c>
      <c r="C100" s="40" t="s">
        <v>232</v>
      </c>
      <c r="D100" s="41" t="s">
        <v>233</v>
      </c>
      <c r="E100" s="42">
        <v>1</v>
      </c>
      <c r="F100" s="36" t="s">
        <v>42</v>
      </c>
      <c r="G100" s="36" t="str">
        <f t="shared" si="4"/>
        <v>Not Assessed</v>
      </c>
      <c r="H100" s="43">
        <f t="shared" si="5"/>
        <v>-1</v>
      </c>
      <c r="I100" s="44"/>
    </row>
    <row r="101" spans="1:9" ht="43.5" customHeight="1">
      <c r="A101" s="45" t="s">
        <v>25</v>
      </c>
      <c r="B101" s="46" t="s">
        <v>45</v>
      </c>
      <c r="C101" s="33" t="s">
        <v>234</v>
      </c>
      <c r="D101" s="34" t="s">
        <v>235</v>
      </c>
      <c r="E101" s="35">
        <v>1</v>
      </c>
      <c r="F101" s="36" t="s">
        <v>42</v>
      </c>
      <c r="G101" s="36" t="str">
        <f t="shared" ref="G101:G132" si="6">F101</f>
        <v>Not Assessed</v>
      </c>
      <c r="H101" s="37">
        <f t="shared" ref="H101:H114" si="7">IF(F101="Met",0,IF(F101="Partially Met",-CEILING(E101/2,1),IF(F101="Unmet",-E101,-E101)))</f>
        <v>-1</v>
      </c>
      <c r="I101" s="38"/>
    </row>
    <row r="102" spans="1:9" ht="43.5" customHeight="1">
      <c r="A102" s="39" t="s">
        <v>25</v>
      </c>
      <c r="B102" s="47" t="s">
        <v>45</v>
      </c>
      <c r="C102" s="40" t="s">
        <v>236</v>
      </c>
      <c r="D102" s="41" t="s">
        <v>237</v>
      </c>
      <c r="E102" s="42">
        <v>5</v>
      </c>
      <c r="F102" s="36" t="s">
        <v>42</v>
      </c>
      <c r="G102" s="36" t="str">
        <f t="shared" si="6"/>
        <v>Not Assessed</v>
      </c>
      <c r="H102" s="43">
        <f t="shared" si="7"/>
        <v>-5</v>
      </c>
      <c r="I102" s="44"/>
    </row>
    <row r="103" spans="1:9" ht="43.5" customHeight="1">
      <c r="A103" s="45" t="s">
        <v>25</v>
      </c>
      <c r="B103" s="46" t="s">
        <v>45</v>
      </c>
      <c r="C103" s="33" t="s">
        <v>238</v>
      </c>
      <c r="D103" s="34" t="s">
        <v>239</v>
      </c>
      <c r="E103" s="35">
        <v>1</v>
      </c>
      <c r="F103" s="36" t="s">
        <v>42</v>
      </c>
      <c r="G103" s="36" t="str">
        <f t="shared" si="6"/>
        <v>Not Assessed</v>
      </c>
      <c r="H103" s="37">
        <f t="shared" si="7"/>
        <v>-1</v>
      </c>
      <c r="I103" s="38"/>
    </row>
    <row r="104" spans="1:9" ht="43.5" customHeight="1">
      <c r="A104" s="39" t="s">
        <v>25</v>
      </c>
      <c r="B104" s="47" t="s">
        <v>45</v>
      </c>
      <c r="C104" s="40" t="s">
        <v>240</v>
      </c>
      <c r="D104" s="41" t="s">
        <v>241</v>
      </c>
      <c r="E104" s="42">
        <v>1</v>
      </c>
      <c r="F104" s="36" t="s">
        <v>42</v>
      </c>
      <c r="G104" s="36" t="str">
        <f t="shared" si="6"/>
        <v>Not Assessed</v>
      </c>
      <c r="H104" s="43">
        <f t="shared" si="7"/>
        <v>-1</v>
      </c>
      <c r="I104" s="44"/>
    </row>
    <row r="105" spans="1:9" ht="43.5" customHeight="1">
      <c r="A105" s="45" t="s">
        <v>25</v>
      </c>
      <c r="B105" s="46" t="s">
        <v>45</v>
      </c>
      <c r="C105" s="33" t="s">
        <v>242</v>
      </c>
      <c r="D105" s="34" t="s">
        <v>243</v>
      </c>
      <c r="E105" s="35">
        <v>1</v>
      </c>
      <c r="F105" s="36" t="s">
        <v>42</v>
      </c>
      <c r="G105" s="36" t="str">
        <f t="shared" si="6"/>
        <v>Not Assessed</v>
      </c>
      <c r="H105" s="37">
        <f t="shared" si="7"/>
        <v>-1</v>
      </c>
      <c r="I105" s="38"/>
    </row>
    <row r="106" spans="1:9" ht="43.5" customHeight="1">
      <c r="A106" s="39" t="s">
        <v>25</v>
      </c>
      <c r="B106" s="47" t="s">
        <v>45</v>
      </c>
      <c r="C106" s="40" t="s">
        <v>244</v>
      </c>
      <c r="D106" s="41" t="s">
        <v>245</v>
      </c>
      <c r="E106" s="42">
        <v>5</v>
      </c>
      <c r="F106" s="36" t="s">
        <v>42</v>
      </c>
      <c r="G106" s="36" t="str">
        <f t="shared" si="6"/>
        <v>Not Assessed</v>
      </c>
      <c r="H106" s="43">
        <f t="shared" si="7"/>
        <v>-5</v>
      </c>
      <c r="I106" s="44"/>
    </row>
    <row r="107" spans="1:9" ht="43.5" customHeight="1">
      <c r="A107" s="45" t="s">
        <v>25</v>
      </c>
      <c r="B107" s="46" t="s">
        <v>45</v>
      </c>
      <c r="C107" s="33" t="s">
        <v>246</v>
      </c>
      <c r="D107" s="34" t="s">
        <v>247</v>
      </c>
      <c r="E107" s="35">
        <v>1</v>
      </c>
      <c r="F107" s="36" t="s">
        <v>42</v>
      </c>
      <c r="G107" s="36" t="str">
        <f t="shared" si="6"/>
        <v>Not Assessed</v>
      </c>
      <c r="H107" s="37">
        <f t="shared" si="7"/>
        <v>-1</v>
      </c>
      <c r="I107" s="38"/>
    </row>
    <row r="108" spans="1:9" ht="43.5" customHeight="1">
      <c r="A108" s="31" t="s">
        <v>26</v>
      </c>
      <c r="B108" s="32" t="s">
        <v>39</v>
      </c>
      <c r="C108" s="40" t="s">
        <v>248</v>
      </c>
      <c r="D108" s="41" t="s">
        <v>249</v>
      </c>
      <c r="E108" s="42">
        <v>5</v>
      </c>
      <c r="F108" s="36" t="s">
        <v>42</v>
      </c>
      <c r="G108" s="36" t="str">
        <f t="shared" si="6"/>
        <v>Not Assessed</v>
      </c>
      <c r="H108" s="43">
        <f t="shared" si="7"/>
        <v>-5</v>
      </c>
      <c r="I108" s="44"/>
    </row>
    <row r="109" spans="1:9" ht="43.5" customHeight="1">
      <c r="A109" s="45" t="s">
        <v>26</v>
      </c>
      <c r="B109" s="32" t="s">
        <v>39</v>
      </c>
      <c r="C109" s="33" t="s">
        <v>250</v>
      </c>
      <c r="D109" s="34" t="s">
        <v>251</v>
      </c>
      <c r="E109" s="35">
        <v>5</v>
      </c>
      <c r="F109" s="36" t="s">
        <v>42</v>
      </c>
      <c r="G109" s="36" t="str">
        <f t="shared" si="6"/>
        <v>Not Assessed</v>
      </c>
      <c r="H109" s="37">
        <f t="shared" si="7"/>
        <v>-5</v>
      </c>
      <c r="I109" s="38"/>
    </row>
    <row r="110" spans="1:9" ht="43.5" customHeight="1">
      <c r="A110" s="39" t="s">
        <v>26</v>
      </c>
      <c r="B110" s="32" t="s">
        <v>39</v>
      </c>
      <c r="C110" s="40" t="s">
        <v>252</v>
      </c>
      <c r="D110" s="41" t="s">
        <v>253</v>
      </c>
      <c r="E110" s="42">
        <v>5</v>
      </c>
      <c r="F110" s="36" t="s">
        <v>42</v>
      </c>
      <c r="G110" s="36" t="str">
        <f t="shared" si="6"/>
        <v>Not Assessed</v>
      </c>
      <c r="H110" s="43">
        <f t="shared" si="7"/>
        <v>-5</v>
      </c>
      <c r="I110" s="44"/>
    </row>
    <row r="111" spans="1:9" ht="43.5" customHeight="1">
      <c r="A111" s="45" t="s">
        <v>26</v>
      </c>
      <c r="B111" s="46" t="s">
        <v>45</v>
      </c>
      <c r="C111" s="33" t="s">
        <v>254</v>
      </c>
      <c r="D111" s="34" t="s">
        <v>255</v>
      </c>
      <c r="E111" s="35">
        <v>5</v>
      </c>
      <c r="F111" s="36" t="s">
        <v>42</v>
      </c>
      <c r="G111" s="36" t="str">
        <f t="shared" si="6"/>
        <v>Not Assessed</v>
      </c>
      <c r="H111" s="37">
        <f t="shared" si="7"/>
        <v>-5</v>
      </c>
      <c r="I111" s="38"/>
    </row>
    <row r="112" spans="1:9" ht="43.5" customHeight="1">
      <c r="A112" s="39" t="s">
        <v>26</v>
      </c>
      <c r="B112" s="47" t="s">
        <v>45</v>
      </c>
      <c r="C112" s="40" t="s">
        <v>256</v>
      </c>
      <c r="D112" s="41" t="s">
        <v>257</v>
      </c>
      <c r="E112" s="42">
        <v>3</v>
      </c>
      <c r="F112" s="36" t="s">
        <v>42</v>
      </c>
      <c r="G112" s="36" t="str">
        <f t="shared" si="6"/>
        <v>Not Assessed</v>
      </c>
      <c r="H112" s="43">
        <f t="shared" si="7"/>
        <v>-3</v>
      </c>
      <c r="I112" s="44"/>
    </row>
    <row r="113" spans="1:9" ht="43.5" customHeight="1">
      <c r="A113" s="45" t="s">
        <v>26</v>
      </c>
      <c r="B113" s="46" t="s">
        <v>45</v>
      </c>
      <c r="C113" s="33" t="s">
        <v>258</v>
      </c>
      <c r="D113" s="34" t="s">
        <v>259</v>
      </c>
      <c r="E113" s="35">
        <v>5</v>
      </c>
      <c r="F113" s="36" t="s">
        <v>42</v>
      </c>
      <c r="G113" s="36" t="str">
        <f t="shared" si="6"/>
        <v>Not Assessed</v>
      </c>
      <c r="H113" s="37">
        <f t="shared" si="7"/>
        <v>-5</v>
      </c>
      <c r="I113" s="38"/>
    </row>
    <row r="114" spans="1:9" ht="43.5" customHeight="1">
      <c r="A114" s="39" t="s">
        <v>26</v>
      </c>
      <c r="B114" s="47" t="s">
        <v>45</v>
      </c>
      <c r="C114" s="40" t="s">
        <v>260</v>
      </c>
      <c r="D114" s="41" t="s">
        <v>261</v>
      </c>
      <c r="E114" s="42">
        <v>3</v>
      </c>
      <c r="F114" s="36" t="s">
        <v>42</v>
      </c>
      <c r="G114" s="36" t="str">
        <f t="shared" si="6"/>
        <v>Not Assessed</v>
      </c>
      <c r="H114" s="43">
        <f t="shared" si="7"/>
        <v>-3</v>
      </c>
      <c r="I114" s="44"/>
    </row>
  </sheetData>
  <mergeCells count="2">
    <mergeCell ref="A1:I1"/>
    <mergeCell ref="A2:I2"/>
  </mergeCells>
  <conditionalFormatting sqref="F5:G114">
    <cfRule type="expression" dxfId="4" priority="2">
      <formula>F5="Met"</formula>
    </cfRule>
    <cfRule type="expression" dxfId="3" priority="3">
      <formula>F5="Partially Met"</formula>
    </cfRule>
    <cfRule type="expression" dxfId="2" priority="4">
      <formula>F5="Unmet"</formula>
    </cfRule>
  </conditionalFormatting>
  <conditionalFormatting sqref="H5:H114">
    <cfRule type="expression" dxfId="1" priority="5">
      <formula>H5=0</formula>
    </cfRule>
    <cfRule type="expression" dxfId="0" priority="6">
      <formula>H5&lt;0</formula>
    </cfRule>
  </conditionalFormatting>
  <dataValidations count="1">
    <dataValidation type="list" sqref="F5:F120" xr:uid="{00000000-0002-0000-0100-000000000000}">
      <formula1>"Met,Partially Met,Unmet,Not Assessed"</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6"/>
  <sheetViews>
    <sheetView showGridLines="0" zoomScaleNormal="100" workbookViewId="0"/>
  </sheetViews>
  <sheetFormatPr baseColWidth="10" defaultColWidth="8.6640625" defaultRowHeight="15"/>
  <cols>
    <col min="1" max="1" width="2" customWidth="1"/>
    <col min="2" max="2" width="90" customWidth="1"/>
    <col min="3" max="3" width="2" customWidth="1"/>
  </cols>
  <sheetData>
    <row r="1" spans="1:3" ht="21.75" customHeight="1">
      <c r="A1" s="14" t="s">
        <v>262</v>
      </c>
      <c r="B1" s="14"/>
      <c r="C1" s="14"/>
    </row>
    <row r="2" spans="1:3" ht="31.5" customHeight="1">
      <c r="A2" s="51" t="s">
        <v>263</v>
      </c>
      <c r="B2" s="51"/>
      <c r="C2" s="51"/>
    </row>
    <row r="3" spans="1:3" ht="12" customHeight="1"/>
    <row r="4" spans="1:3" ht="21.75" customHeight="1">
      <c r="A4" s="52" t="s">
        <v>264</v>
      </c>
      <c r="B4" s="52"/>
      <c r="C4" s="52"/>
    </row>
    <row r="5" spans="1:3" ht="57.75" customHeight="1">
      <c r="A5" s="53" t="s">
        <v>265</v>
      </c>
      <c r="B5" s="53"/>
      <c r="C5" s="53"/>
    </row>
    <row r="6" spans="1:3" ht="43.5" customHeight="1">
      <c r="A6" s="53" t="s">
        <v>266</v>
      </c>
      <c r="B6" s="53"/>
      <c r="C6" s="53"/>
    </row>
    <row r="7" spans="1:3" ht="9.75" customHeight="1"/>
    <row r="8" spans="1:3" ht="21.75" customHeight="1">
      <c r="A8" s="54" t="s">
        <v>267</v>
      </c>
      <c r="B8" s="54"/>
      <c r="C8" s="54"/>
    </row>
    <row r="9" spans="1:3" ht="43.5" customHeight="1">
      <c r="A9" s="55" t="s">
        <v>268</v>
      </c>
      <c r="B9" s="55"/>
      <c r="C9" s="55"/>
    </row>
    <row r="10" spans="1:3" ht="30" customHeight="1">
      <c r="A10" s="56" t="s">
        <v>269</v>
      </c>
      <c r="B10" s="56"/>
      <c r="C10" s="56"/>
    </row>
    <row r="11" spans="1:3" ht="30" customHeight="1">
      <c r="A11" s="55" t="s">
        <v>270</v>
      </c>
      <c r="B11" s="55"/>
      <c r="C11" s="55"/>
    </row>
    <row r="12" spans="1:3" ht="30" customHeight="1">
      <c r="A12" s="55" t="s">
        <v>271</v>
      </c>
      <c r="B12" s="55"/>
      <c r="C12" s="55"/>
    </row>
    <row r="13" spans="1:3" ht="18" customHeight="1">
      <c r="A13" s="55" t="s">
        <v>272</v>
      </c>
      <c r="B13" s="55"/>
      <c r="C13" s="55"/>
    </row>
    <row r="14" spans="1:3" ht="30" customHeight="1">
      <c r="A14" s="55" t="s">
        <v>273</v>
      </c>
      <c r="B14" s="55"/>
      <c r="C14" s="55"/>
    </row>
    <row r="15" spans="1:3" ht="30" customHeight="1">
      <c r="A15" s="55" t="s">
        <v>274</v>
      </c>
      <c r="B15" s="55"/>
      <c r="C15" s="55"/>
    </row>
    <row r="16" spans="1:3" ht="9.75" customHeight="1"/>
    <row r="17" spans="1:3" ht="21.75" customHeight="1">
      <c r="A17" s="52" t="s">
        <v>275</v>
      </c>
      <c r="B17" s="52"/>
      <c r="C17" s="52"/>
    </row>
    <row r="18" spans="1:3" ht="30" customHeight="1">
      <c r="A18" s="53" t="s">
        <v>276</v>
      </c>
      <c r="B18" s="53"/>
      <c r="C18" s="53"/>
    </row>
    <row r="19" spans="1:3" ht="18" customHeight="1">
      <c r="A19" s="53" t="s">
        <v>277</v>
      </c>
      <c r="B19" s="53"/>
      <c r="C19" s="53"/>
    </row>
    <row r="20" spans="1:3" ht="30" customHeight="1">
      <c r="A20" s="53" t="s">
        <v>278</v>
      </c>
      <c r="B20" s="53"/>
      <c r="C20" s="53"/>
    </row>
    <row r="21" spans="1:3" ht="30" customHeight="1">
      <c r="A21" s="53" t="s">
        <v>279</v>
      </c>
      <c r="B21" s="53"/>
      <c r="C21" s="53"/>
    </row>
    <row r="22" spans="1:3" ht="30" customHeight="1">
      <c r="A22" s="53" t="s">
        <v>280</v>
      </c>
      <c r="B22" s="53"/>
      <c r="C22" s="53"/>
    </row>
    <row r="23" spans="1:3" ht="30" customHeight="1">
      <c r="A23" s="53" t="s">
        <v>281</v>
      </c>
      <c r="B23" s="53"/>
      <c r="C23" s="53"/>
    </row>
    <row r="24" spans="1:3" ht="30" customHeight="1">
      <c r="A24" s="53" t="s">
        <v>282</v>
      </c>
      <c r="B24" s="53"/>
      <c r="C24" s="53"/>
    </row>
    <row r="25" spans="1:3" ht="9.75" customHeight="1"/>
    <row r="26" spans="1:3" ht="21.75" customHeight="1">
      <c r="A26" s="54" t="s">
        <v>283</v>
      </c>
      <c r="B26" s="54"/>
      <c r="C26" s="54"/>
    </row>
    <row r="27" spans="1:3" ht="57.75" customHeight="1">
      <c r="A27" s="55" t="s">
        <v>284</v>
      </c>
      <c r="B27" s="55"/>
      <c r="C27" s="55"/>
    </row>
    <row r="28" spans="1:3" ht="43.5" customHeight="1">
      <c r="A28" s="55" t="s">
        <v>285</v>
      </c>
      <c r="B28" s="55"/>
      <c r="C28" s="55"/>
    </row>
    <row r="29" spans="1:3" ht="30" customHeight="1">
      <c r="A29" s="55" t="s">
        <v>286</v>
      </c>
      <c r="B29" s="55"/>
      <c r="C29" s="55"/>
    </row>
    <row r="30" spans="1:3" ht="57.75" customHeight="1">
      <c r="A30" s="55" t="s">
        <v>287</v>
      </c>
      <c r="B30" s="55"/>
      <c r="C30" s="55"/>
    </row>
    <row r="31" spans="1:3" ht="9.75" customHeight="1"/>
    <row r="32" spans="1:3" ht="21.75" customHeight="1">
      <c r="A32" s="52" t="s">
        <v>288</v>
      </c>
      <c r="B32" s="52"/>
      <c r="C32" s="52"/>
    </row>
    <row r="33" spans="1:3" ht="30" customHeight="1">
      <c r="A33" s="53" t="s">
        <v>289</v>
      </c>
      <c r="B33" s="53"/>
      <c r="C33" s="53"/>
    </row>
    <row r="34" spans="1:3" ht="30" customHeight="1">
      <c r="A34" s="53" t="s">
        <v>290</v>
      </c>
      <c r="B34" s="53"/>
      <c r="C34" s="53"/>
    </row>
    <row r="35" spans="1:3" ht="43.5" customHeight="1">
      <c r="A35" s="53" t="s">
        <v>291</v>
      </c>
      <c r="B35" s="53"/>
      <c r="C35" s="53"/>
    </row>
    <row r="36" spans="1:3" ht="30" customHeight="1">
      <c r="A36" s="53" t="s">
        <v>292</v>
      </c>
      <c r="B36" s="53"/>
      <c r="C36" s="53"/>
    </row>
    <row r="37" spans="1:3" ht="43.5" customHeight="1">
      <c r="A37" s="53" t="s">
        <v>293</v>
      </c>
      <c r="B37" s="53"/>
      <c r="C37" s="53"/>
    </row>
    <row r="38" spans="1:3" ht="43.5" customHeight="1">
      <c r="A38" s="53" t="s">
        <v>294</v>
      </c>
      <c r="B38" s="53"/>
      <c r="C38" s="53"/>
    </row>
    <row r="39" spans="1:3" ht="9.75" customHeight="1"/>
    <row r="40" spans="1:3" ht="21.75" customHeight="1">
      <c r="A40" s="54" t="s">
        <v>295</v>
      </c>
      <c r="B40" s="54"/>
      <c r="C40" s="54"/>
    </row>
    <row r="41" spans="1:3" ht="43.5" customHeight="1">
      <c r="A41" s="55" t="s">
        <v>296</v>
      </c>
      <c r="B41" s="55"/>
      <c r="C41" s="55"/>
    </row>
    <row r="42" spans="1:3" ht="30" customHeight="1">
      <c r="A42" s="55" t="s">
        <v>297</v>
      </c>
      <c r="B42" s="55"/>
      <c r="C42" s="55"/>
    </row>
    <row r="43" spans="1:3" ht="30" customHeight="1">
      <c r="A43" s="55" t="s">
        <v>298</v>
      </c>
      <c r="B43" s="55"/>
      <c r="C43" s="55"/>
    </row>
    <row r="44" spans="1:3" ht="18" customHeight="1">
      <c r="A44" s="55" t="s">
        <v>299</v>
      </c>
      <c r="B44" s="55"/>
      <c r="C44" s="55"/>
    </row>
    <row r="45" spans="1:3" ht="43.5" customHeight="1">
      <c r="A45" s="55" t="s">
        <v>300</v>
      </c>
      <c r="B45" s="55"/>
      <c r="C45" s="55"/>
    </row>
    <row r="46" spans="1:3" ht="9.75" customHeight="1"/>
  </sheetData>
  <mergeCells count="39">
    <mergeCell ref="A42:C42"/>
    <mergeCell ref="A43:C43"/>
    <mergeCell ref="A44:C44"/>
    <mergeCell ref="A45:C45"/>
    <mergeCell ref="A36:C36"/>
    <mergeCell ref="A37:C37"/>
    <mergeCell ref="A38:C38"/>
    <mergeCell ref="A40:C40"/>
    <mergeCell ref="A41:C41"/>
    <mergeCell ref="A30:C30"/>
    <mergeCell ref="A32:C32"/>
    <mergeCell ref="A33:C33"/>
    <mergeCell ref="A34:C34"/>
    <mergeCell ref="A35:C35"/>
    <mergeCell ref="A24:C24"/>
    <mergeCell ref="A26:C26"/>
    <mergeCell ref="A27:C27"/>
    <mergeCell ref="A28:C28"/>
    <mergeCell ref="A29:C29"/>
    <mergeCell ref="A19:C19"/>
    <mergeCell ref="A20:C20"/>
    <mergeCell ref="A21:C21"/>
    <mergeCell ref="A22:C22"/>
    <mergeCell ref="A23:C23"/>
    <mergeCell ref="A13:C13"/>
    <mergeCell ref="A14:C14"/>
    <mergeCell ref="A15:C15"/>
    <mergeCell ref="A17:C17"/>
    <mergeCell ref="A18:C18"/>
    <mergeCell ref="A8:C8"/>
    <mergeCell ref="A9:C9"/>
    <mergeCell ref="A10:C10"/>
    <mergeCell ref="A11:C11"/>
    <mergeCell ref="A12:C12"/>
    <mergeCell ref="A1:C1"/>
    <mergeCell ref="A2:C2"/>
    <mergeCell ref="A4:C4"/>
    <mergeCell ref="A5:C5"/>
    <mergeCell ref="A6:C6"/>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zoomScaleNormal="100" workbookViewId="0"/>
  </sheetViews>
  <sheetFormatPr baseColWidth="10" defaultColWidth="8.6640625" defaultRowHeight="15"/>
  <sheetData>
    <row r="1" spans="1:1" ht="15" customHeight="1">
      <c r="A1" t="s">
        <v>301</v>
      </c>
    </row>
    <row r="2" spans="1:1" ht="15" customHeight="1">
      <c r="A2" t="s">
        <v>302</v>
      </c>
    </row>
    <row r="3" spans="1:1" ht="15" customHeight="1">
      <c r="A3" t="s">
        <v>303</v>
      </c>
    </row>
    <row r="4" spans="1:1" ht="15" customHeight="1">
      <c r="A4" t="s">
        <v>42</v>
      </c>
    </row>
    <row r="5" spans="1:1" ht="15" customHeight="1">
      <c r="A5" t="s">
        <v>304</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 Dashboard</vt:lpstr>
      <vt:lpstr>📋 Assessment</vt:lpstr>
      <vt:lpstr>📖 Instructions</vt:lpstr>
      <vt:lpstr>_Values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Rob Sinex</cp:lastModifiedBy>
  <cp:revision>0</cp:revision>
  <dcterms:created xsi:type="dcterms:W3CDTF">2026-04-26T15:58:59Z</dcterms:created>
  <dcterms:modified xsi:type="dcterms:W3CDTF">2026-04-26T16:01:49Z</dcterms:modified>
  <dc:language>en-US</dc:language>
</cp:coreProperties>
</file>